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155" tabRatio="830" firstSheet="1" activeTab="11"/>
  </bookViews>
  <sheets>
    <sheet name="титульный" sheetId="1" r:id="rId1"/>
    <sheet name="Раздел 4" sheetId="2" r:id="rId2"/>
    <sheet name="2019" sheetId="3" r:id="rId3"/>
    <sheet name="2020" sheetId="4" r:id="rId4"/>
    <sheet name="2021" sheetId="5" r:id="rId5"/>
    <sheet name="мунзад 19" sheetId="6" r:id="rId6"/>
    <sheet name="мунзад 20" sheetId="7" r:id="rId7"/>
    <sheet name="мунзад 21" sheetId="8" r:id="rId8"/>
    <sheet name="приносяш 2019" sheetId="9" r:id="rId9"/>
    <sheet name="приносяш 2020" sheetId="10" r:id="rId10"/>
    <sheet name="приносяш 2021" sheetId="11" r:id="rId11"/>
    <sheet name="Раздел 5 подпись" sheetId="12" r:id="rId12"/>
    <sheet name="Сведения по иным" sheetId="13" state="hidden" r:id="rId13"/>
  </sheets>
  <externalReferences>
    <externalReference r:id="rId16"/>
  </externalReferences>
  <definedNames>
    <definedName name="Par917" localSheetId="12">'Сведения по иным'!$A$42</definedName>
    <definedName name="Par918" localSheetId="12">'Сведения по иным'!$B$42</definedName>
    <definedName name="Par919" localSheetId="12">'Сведения по иным'!$C$42</definedName>
    <definedName name="Par920" localSheetId="12">'Сведения по иным'!$D$42</definedName>
    <definedName name="Par921" localSheetId="12">'Сведения по иным'!$E$42</definedName>
    <definedName name="Par922" localSheetId="12">'Сведения по иным'!$F$42</definedName>
    <definedName name="Par923" localSheetId="12">'Сведения по иным'!$G$42</definedName>
    <definedName name="Par924" localSheetId="12">'Сведения по иным'!$H$42</definedName>
    <definedName name="Par925" localSheetId="12">'Сведения по иным'!$I$42</definedName>
    <definedName name="Par926" localSheetId="12">'Сведения по иным'!$J$42</definedName>
    <definedName name="Z_91D40EB3_3AB1_43EC_9BD4_811B569873C7_.wvu.PrintArea" localSheetId="5" hidden="1">'мунзад 19'!$A$1:$L$180</definedName>
    <definedName name="Z_91D40EB3_3AB1_43EC_9BD4_811B569873C7_.wvu.PrintArea" localSheetId="6" hidden="1">'мунзад 20'!$A$1:$K$179</definedName>
    <definedName name="Z_91D40EB3_3AB1_43EC_9BD4_811B569873C7_.wvu.PrintArea" localSheetId="7" hidden="1">'мунзад 21'!$A$1:$K$179</definedName>
    <definedName name="Z_91D40EB3_3AB1_43EC_9BD4_811B569873C7_.wvu.PrintArea" localSheetId="8" hidden="1">'приносяш 2019'!$A$1:$K$148</definedName>
    <definedName name="Z_91D40EB3_3AB1_43EC_9BD4_811B569873C7_.wvu.PrintArea" localSheetId="9" hidden="1">'приносяш 2020'!$A$1:$K$147</definedName>
    <definedName name="Z_91D40EB3_3AB1_43EC_9BD4_811B569873C7_.wvu.PrintArea" localSheetId="10" hidden="1">'приносяш 2021'!$A$1:$K$147</definedName>
    <definedName name="Z_91D40EB3_3AB1_43EC_9BD4_811B569873C7_.wvu.PrintArea" localSheetId="0" hidden="1">'титульный'!$A$1:$G$87</definedName>
    <definedName name="Z_FB496A58_F583_46B2_B046_A2748948A2F7_.wvu.PrintArea" localSheetId="5" hidden="1">'мунзад 19'!$A$1:$J$180</definedName>
    <definedName name="Z_FB496A58_F583_46B2_B046_A2748948A2F7_.wvu.PrintArea" localSheetId="6" hidden="1">'мунзад 20'!$A$1:$J$179</definedName>
    <definedName name="Z_FB496A58_F583_46B2_B046_A2748948A2F7_.wvu.PrintArea" localSheetId="7" hidden="1">'мунзад 21'!$A$1:$J$179</definedName>
    <definedName name="Z_FB496A58_F583_46B2_B046_A2748948A2F7_.wvu.PrintArea" localSheetId="8" hidden="1">'приносяш 2019'!$A$1:$J$148</definedName>
    <definedName name="Z_FB496A58_F583_46B2_B046_A2748948A2F7_.wvu.PrintArea" localSheetId="9" hidden="1">'приносяш 2020'!$A$1:$J$147</definedName>
    <definedName name="Z_FB496A58_F583_46B2_B046_A2748948A2F7_.wvu.PrintArea" localSheetId="10" hidden="1">'приносяш 2021'!$A$1:$J$147</definedName>
    <definedName name="Z_FB496A58_F583_46B2_B046_A2748948A2F7_.wvu.PrintArea" localSheetId="0" hidden="1">'титульный'!$A$1:$G$87</definedName>
    <definedName name="_xlnm.Print_Titles" localSheetId="2">'2019'!$6:$10</definedName>
    <definedName name="_xlnm.Print_Titles" localSheetId="3">'2020'!$6:$10</definedName>
    <definedName name="_xlnm.Print_Titles" localSheetId="4">'2021'!$6:$10</definedName>
    <definedName name="_xlnm.Print_Titles" localSheetId="1">'Раздел 4'!$4:$8</definedName>
    <definedName name="_xlnm.Print_Area" localSheetId="2">'2019'!$A$1:$I$62</definedName>
    <definedName name="_xlnm.Print_Area" localSheetId="3">'2020'!$A$1:$I$62</definedName>
    <definedName name="_xlnm.Print_Area" localSheetId="4">'2021'!$A$1:$I$65</definedName>
    <definedName name="_xlnm.Print_Area" localSheetId="5">'мунзад 19'!$A$1:$J$182</definedName>
    <definedName name="_xlnm.Print_Area" localSheetId="6">'мунзад 20'!$A$1:$J$181</definedName>
    <definedName name="_xlnm.Print_Area" localSheetId="7">'мунзад 21'!$A$1:$J$181</definedName>
    <definedName name="_xlnm.Print_Area" localSheetId="8">'приносяш 2019'!$A$1:$H$163</definedName>
    <definedName name="_xlnm.Print_Area" localSheetId="9">'приносяш 2020'!$A$1:$H$162</definedName>
    <definedName name="_xlnm.Print_Area" localSheetId="10">'приносяш 2021'!$A$1:$H$162</definedName>
    <definedName name="_xlnm.Print_Area" localSheetId="1">'Раздел 4'!$A$1:$L$84</definedName>
    <definedName name="_xlnm.Print_Area" localSheetId="11">'Раздел 5 подпись'!$A$1:$G$24</definedName>
    <definedName name="_xlnm.Print_Area" localSheetId="12">'Сведения по иным'!$A$1:$Q$64</definedName>
    <definedName name="_xlnm.Print_Area" localSheetId="0">'титульный'!$A$1:$G$87</definedName>
  </definedNames>
  <calcPr fullCalcOnLoad="1" refMode="R1C1"/>
</workbook>
</file>

<file path=xl/comments2.xml><?xml version="1.0" encoding="utf-8"?>
<comments xmlns="http://schemas.openxmlformats.org/spreadsheetml/2006/main">
  <authors>
    <author>EMirgorodskaya</author>
  </authors>
  <commentList>
    <comment ref="G46" authorId="0">
      <text>
        <r>
          <rPr>
            <b/>
            <sz val="9"/>
            <rFont val="Tahoma"/>
            <family val="2"/>
          </rPr>
          <t>EMirgorodskaya:</t>
        </r>
        <r>
          <rPr>
            <sz val="9"/>
            <rFont val="Tahoma"/>
            <family val="2"/>
          </rPr>
          <t xml:space="preserve">
остатки текущ.
496337,76
остатки приносящ. 9705
</t>
        </r>
      </text>
    </comment>
    <comment ref="G70" authorId="0">
      <text>
        <r>
          <rPr>
            <b/>
            <sz val="9"/>
            <rFont val="Tahoma"/>
            <family val="2"/>
          </rPr>
          <t>EMirgorodskaya:</t>
        </r>
        <r>
          <rPr>
            <sz val="9"/>
            <rFont val="Tahoma"/>
            <family val="2"/>
          </rPr>
          <t xml:space="preserve">
остатки коммун.
576257,75
приносящ. Остатки 4925,88
</t>
        </r>
      </text>
    </comment>
    <comment ref="G81" authorId="0">
      <text>
        <r>
          <rPr>
            <b/>
            <sz val="9"/>
            <rFont val="Tahoma"/>
            <family val="2"/>
          </rPr>
          <t>EMirgorodskaya:</t>
        </r>
        <r>
          <rPr>
            <sz val="9"/>
            <rFont val="Tahoma"/>
            <family val="2"/>
          </rPr>
          <t xml:space="preserve">
остатки 202907,38</t>
        </r>
      </text>
    </comment>
  </commentList>
</comments>
</file>

<file path=xl/comments3.xml><?xml version="1.0" encoding="utf-8"?>
<comments xmlns="http://schemas.openxmlformats.org/spreadsheetml/2006/main">
  <authors>
    <author>EMirgorodskaya</author>
  </authors>
  <commentList>
    <comment ref="E54" authorId="0">
      <text>
        <r>
          <rPr>
            <b/>
            <sz val="9"/>
            <rFont val="Tahoma"/>
            <family val="2"/>
          </rPr>
          <t>EMirgorodskaya:</t>
        </r>
        <r>
          <rPr>
            <sz val="9"/>
            <rFont val="Tahoma"/>
            <family val="2"/>
          </rPr>
          <t xml:space="preserve">
остатки коммун.
576257,75
</t>
        </r>
      </text>
    </comment>
    <comment ref="E30" authorId="0">
      <text>
        <r>
          <rPr>
            <b/>
            <sz val="9"/>
            <rFont val="Tahoma"/>
            <family val="2"/>
          </rPr>
          <t>EMirgorodskaya:</t>
        </r>
        <r>
          <rPr>
            <sz val="9"/>
            <rFont val="Tahoma"/>
            <family val="2"/>
          </rPr>
          <t xml:space="preserve">
остатки 111
1527507,66
</t>
        </r>
      </text>
    </comment>
    <comment ref="H57" authorId="0">
      <text>
        <r>
          <rPr>
            <b/>
            <sz val="9"/>
            <rFont val="Tahoma"/>
            <family val="2"/>
          </rPr>
          <t>EMirgorodskaya:</t>
        </r>
        <r>
          <rPr>
            <sz val="9"/>
            <rFont val="Tahoma"/>
            <family val="2"/>
          </rPr>
          <t xml:space="preserve">
остатки 4925,88</t>
        </r>
      </text>
    </comment>
    <comment ref="H59" authorId="0">
      <text>
        <r>
          <rPr>
            <b/>
            <sz val="9"/>
            <rFont val="Tahoma"/>
            <family val="2"/>
          </rPr>
          <t>EMirgorodskaya:</t>
        </r>
        <r>
          <rPr>
            <sz val="9"/>
            <rFont val="Tahoma"/>
            <family val="2"/>
          </rPr>
          <t xml:space="preserve">
остатки 202907,38</t>
        </r>
      </text>
    </comment>
    <comment ref="H56" authorId="0">
      <text>
        <r>
          <rPr>
            <b/>
            <sz val="9"/>
            <rFont val="Tahoma"/>
            <family val="2"/>
          </rPr>
          <t>EMirgorodskaya:</t>
        </r>
        <r>
          <rPr>
            <sz val="9"/>
            <rFont val="Tahoma"/>
            <family val="2"/>
          </rPr>
          <t xml:space="preserve">
остаток 9705
</t>
        </r>
      </text>
    </comment>
  </commentList>
</comments>
</file>

<file path=xl/sharedStrings.xml><?xml version="1.0" encoding="utf-8"?>
<sst xmlns="http://schemas.openxmlformats.org/spreadsheetml/2006/main" count="2008" uniqueCount="471">
  <si>
    <t>N п/п</t>
  </si>
  <si>
    <t>Наименование показателя</t>
  </si>
  <si>
    <t>Сумма, рублей</t>
  </si>
  <si>
    <t>Нефинансовые активы, всего:</t>
  </si>
  <si>
    <t>из них:</t>
  </si>
  <si>
    <t>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</si>
  <si>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</si>
  <si>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</si>
  <si>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</si>
  <si>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</si>
  <si>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</si>
  <si>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</si>
  <si>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</si>
  <si>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задолженность, всего:</t>
  </si>
  <si>
    <t>дебиторская задолженность по доходам</t>
  </si>
  <si>
    <t>дебиторская задолженность по расходам</t>
  </si>
  <si>
    <t>иная дебиторская задолженность</t>
  </si>
  <si>
    <t>Обязательства, всего:</t>
  </si>
  <si>
    <t>долговые обязательства</t>
  </si>
  <si>
    <t>кредиторская задолженность, всего:</t>
  </si>
  <si>
    <t>кредиторская задолженность за счет субсидии на финансовое обеспечение выполнения муниципального задания</t>
  </si>
  <si>
    <t>кредиторская задолженность за счет поступлений от оказания услуг (выполнения работ) на платной основе и от иной приносящей доход деятельности</t>
  </si>
  <si>
    <t>в том числе:</t>
  </si>
  <si>
    <t>просроченная кредиторская задолженность</t>
  </si>
  <si>
    <t>II. Показатели финансового состояния муниципального учреждения (подразделения)</t>
  </si>
  <si>
    <t>(последняя отчетная дата)</t>
  </si>
  <si>
    <t>I. Сведения о деятельности муниципального учреждения (подразделения)</t>
  </si>
  <si>
    <t>1.3. Перечень услуг (работ), относящихся в соответствии с уставом муниципального учреждения (положением подразделения) к его основным видам деятельности, предоставление которых для физических и юридических лиц осуществляется в том числе за плату:</t>
  </si>
  <si>
    <t>адрес фактического местонахождения учреждения (подразделения)</t>
  </si>
  <si>
    <t>Коды</t>
  </si>
  <si>
    <t>Дата</t>
  </si>
  <si>
    <t>по ОКПО</t>
  </si>
  <si>
    <t>Управление образования администрации Петропавловск-Камчатского городского округа</t>
  </si>
  <si>
    <t>ИНН</t>
  </si>
  <si>
    <t>КПП</t>
  </si>
  <si>
    <t>единица измерения по ОКЕИ</t>
  </si>
  <si>
    <t>код по реестру участников бюджетного процесса, а также юридических лиц, не являющихся участниками бюджетного процесса</t>
  </si>
  <si>
    <t>Наименование показателя &lt;*&gt;</t>
  </si>
  <si>
    <t>Код строки</t>
  </si>
  <si>
    <t>Код по бюджетной классификации Российской Федерации</t>
  </si>
  <si>
    <t>Объем финансового обеспечения, рублей (с точностью до двух знаков после запятой - 0,00)</t>
  </si>
  <si>
    <t>Всего</t>
  </si>
  <si>
    <t>Субсидия на выполнение муниципального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</si>
  <si>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</si>
  <si>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</si>
  <si>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</si>
  <si>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</si>
  <si>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Остаток средств на начало года</t>
  </si>
  <si>
    <t>X</t>
  </si>
  <si>
    <t>Поступления от доходов всего:</t>
  </si>
  <si>
    <t>от использования имущества, находящегося в муниципальной собственности и переданного в аренду</t>
  </si>
  <si>
    <t>от оказания услуг (выполнения работ)</t>
  </si>
  <si>
    <t>из них</t>
  </si>
  <si>
    <t>от поступлений субсидий на финансовое обеспечение выполнения муниципального задания</t>
  </si>
  <si>
    <t>от оказания услуг (выполнения работ) на платной основе</t>
  </si>
  <si>
    <t>от образовательной деятельности</t>
  </si>
  <si>
    <t>от прочих видов деятельности</t>
  </si>
  <si>
    <t>от штрафов, пеней и иных сумм принудительного изъятия</t>
  </si>
  <si>
    <t>иные субсидии, предоставленные из бюджета</t>
  </si>
  <si>
    <t>прочие доходы</t>
  </si>
  <si>
    <t>Выплаты по расходам, всего:</t>
  </si>
  <si>
    <t>выплаты работникам учреждения</t>
  </si>
  <si>
    <t>фонд оплаты труда</t>
  </si>
  <si>
    <t>иные выплаты работникам учреждения,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</si>
  <si>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</si>
  <si>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социальные и иные выплаты населению</t>
  </si>
  <si>
    <t>пособия, компенсации и иные социальные выплаты гражданам, кроме публичных нормативных обязательств</t>
  </si>
  <si>
    <t>уплата налогов, сборов и иных платежей</t>
  </si>
  <si>
    <t xml:space="preserve"> земельный налог</t>
  </si>
  <si>
    <t>уплата прочих налогов и сборов</t>
  </si>
  <si>
    <t>уплата иных платежей</t>
  </si>
  <si>
    <t>капитальные вложения в объекты муниципальной собственности</t>
  </si>
  <si>
    <t>капитальные вложения на приобретение объектов недвижимого имущества муниципальными учреждениями</t>
  </si>
  <si>
    <t>капитальные вложения на строительство объектов недвижимого имущества муниципальными учреждениями</t>
  </si>
  <si>
    <t>закупка товаров, работ, услуг</t>
  </si>
  <si>
    <t>закупка товаров, работ, услуг в целях капитального ремонта муниципального имущества</t>
  </si>
  <si>
    <t>прочая закупка товаров, работ и услуг для обеспечения муниципальных нужд</t>
  </si>
  <si>
    <t>услуги связи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</si>
  <si>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</si>
  <si>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</si>
  <si>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</si>
  <si>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</si>
  <si>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</si>
  <si>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</si>
  <si>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Поступление финансовых активов, всего</t>
  </si>
  <si>
    <t>Выбытие финансовых активов, всего</t>
  </si>
  <si>
    <t>Остаток средств на конец года</t>
  </si>
  <si>
    <t xml:space="preserve">налог на имущество </t>
  </si>
  <si>
    <t>III. Показатели по поступлениям, выплатам муниципального учреждения (подразделения)</t>
  </si>
  <si>
    <t>Таблица 2</t>
  </si>
  <si>
    <t>Таблица 1</t>
  </si>
  <si>
    <t>Год начала закупки</t>
  </si>
  <si>
    <t>Сумма выплат по расходам на закупку товаров, работ и услуг, рублей (с точностью до двух знаков после запятой - 0,00)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</si>
  <si>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</si>
  <si>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</si>
  <si>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</si>
  <si>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</si>
  <si>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</si>
  <si>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закупки:</t>
  </si>
  <si>
    <t>IV. Показатели выплат по расходам на закупку товаров, работ, услуг муниципального учреждения (подразделения</t>
  </si>
  <si>
    <t>Таблица 2.1</t>
  </si>
  <si>
    <t>Сумма</t>
  </si>
  <si>
    <t>(руб., с точностью до двух знаков после запятой - 0,00)</t>
  </si>
  <si>
    <t>Поступление</t>
  </si>
  <si>
    <t>Выбытие</t>
  </si>
  <si>
    <t>(очередной финансовый год)</t>
  </si>
  <si>
    <t>Таблица 3</t>
  </si>
  <si>
    <t>Приложение 2</t>
  </si>
  <si>
    <r>
      <t xml:space="preserve">к Порядку </t>
    </r>
    <r>
      <rPr>
        <sz val="13"/>
        <color indexed="8"/>
        <rFont val="Times New Roman"/>
        <family val="1"/>
      </rPr>
      <t>составления и утверждения</t>
    </r>
  </si>
  <si>
    <t xml:space="preserve"> плана финансово-хозяйственной</t>
  </si>
  <si>
    <t xml:space="preserve"> деятельности муниципальных бюджетных</t>
  </si>
  <si>
    <t xml:space="preserve"> и автономных учреждений, находящихся</t>
  </si>
  <si>
    <t xml:space="preserve"> в ведении Управления образования</t>
  </si>
  <si>
    <t xml:space="preserve"> администрации Петропавловск-Камчатского</t>
  </si>
  <si>
    <t xml:space="preserve"> городского округа</t>
  </si>
  <si>
    <t>1. Расчеты (обоснования) выплат персоналу (строка 015)</t>
  </si>
  <si>
    <t>1.1. Расчеты (обоснования) расходов на оплату труда</t>
  </si>
  <si>
    <t>Должность, группа должностей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</si>
  <si>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</si>
  <si>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</si>
  <si>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</si>
  <si>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</si>
  <si>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</si>
  <si>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</si>
  <si>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</si>
  <si>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Итого:</t>
  </si>
  <si>
    <t>x</t>
  </si>
  <si>
    <t>Наименование расходов</t>
  </si>
  <si>
    <t>Средний размер выплаты на одного работника в день, руб.</t>
  </si>
  <si>
    <t>Количество работников, чел.</t>
  </si>
  <si>
    <t>Количество дней</t>
  </si>
  <si>
    <r>
      <t>Сумма, руб. (</t>
    </r>
    <r>
      <rPr>
        <sz val="14"/>
        <color indexed="12"/>
        <rFont val="Times New Roman"/>
        <family val="1"/>
      </rPr>
      <t>гр. 3</t>
    </r>
    <r>
      <rPr>
        <sz val="14"/>
        <color indexed="8"/>
        <rFont val="Times New Roman"/>
        <family val="1"/>
      </rPr>
      <t xml:space="preserve"> x </t>
    </r>
    <r>
      <rPr>
        <sz val="14"/>
        <color indexed="12"/>
        <rFont val="Times New Roman"/>
        <family val="1"/>
      </rPr>
      <t>гр. 4</t>
    </r>
    <r>
      <rPr>
        <sz val="14"/>
        <color indexed="8"/>
        <rFont val="Times New Roman"/>
        <family val="1"/>
      </rPr>
      <t xml:space="preserve"> x </t>
    </r>
    <r>
      <rPr>
        <sz val="14"/>
        <color indexed="12"/>
        <rFont val="Times New Roman"/>
        <family val="1"/>
      </rPr>
      <t>гр. 5</t>
    </r>
    <r>
      <rPr>
        <sz val="14"/>
        <color indexed="8"/>
        <rFont val="Times New Roman"/>
        <family val="1"/>
      </rPr>
      <t>)</t>
    </r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</si>
  <si>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</si>
  <si>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</si>
  <si>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</si>
  <si>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</si>
  <si>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</si>
  <si>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</si>
  <si>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Страховые взносы в Пенсионный фонд Российской Федерации, всего</t>
  </si>
  <si>
    <t>1.1.</t>
  </si>
  <si>
    <t>по ставке 22,0%</t>
  </si>
  <si>
    <t>1.2.</t>
  </si>
  <si>
    <t>по ставке 10,0%</t>
  </si>
  <si>
    <t>Страховые взносы в Фонд социального страхования Российской Федерации, всего</t>
  </si>
  <si>
    <t>Страховые взносы в Федеральный фонд обязательного медицинского страхования, всего (по ставке 5,1%)</t>
  </si>
  <si>
    <t>Размер одной выплаты, руб.</t>
  </si>
  <si>
    <t>Количество выплат в год</t>
  </si>
  <si>
    <r>
      <t>Общая сумма выплат, руб. (</t>
    </r>
    <r>
      <rPr>
        <sz val="14"/>
        <color indexed="12"/>
        <rFont val="Times New Roman"/>
        <family val="1"/>
      </rPr>
      <t>гр. 3</t>
    </r>
    <r>
      <rPr>
        <sz val="14"/>
        <color indexed="8"/>
        <rFont val="Times New Roman"/>
        <family val="1"/>
      </rPr>
      <t xml:space="preserve"> x </t>
    </r>
    <r>
      <rPr>
        <sz val="14"/>
        <color indexed="12"/>
        <rFont val="Times New Roman"/>
        <family val="1"/>
      </rPr>
      <t>гр. 4</t>
    </r>
    <r>
      <rPr>
        <sz val="14"/>
        <color indexed="8"/>
        <rFont val="Times New Roman"/>
        <family val="1"/>
      </rPr>
      <t>)</t>
    </r>
  </si>
  <si>
    <t>Налоговая база, руб.</t>
  </si>
  <si>
    <t>Ставка налога, %</t>
  </si>
  <si>
    <r>
      <t>Сумма исчисленного налога, подлежащего уплате, руб. (</t>
    </r>
    <r>
      <rPr>
        <sz val="14"/>
        <color indexed="12"/>
        <rFont val="Times New Roman"/>
        <family val="1"/>
      </rPr>
      <t>гр. 3</t>
    </r>
    <r>
      <rPr>
        <sz val="14"/>
        <color indexed="8"/>
        <rFont val="Times New Roman"/>
        <family val="1"/>
      </rPr>
      <t xml:space="preserve"> x </t>
    </r>
    <r>
      <rPr>
        <sz val="14"/>
        <color indexed="12"/>
        <rFont val="Times New Roman"/>
        <family val="1"/>
      </rPr>
      <t>гр. 4</t>
    </r>
    <r>
      <rPr>
        <sz val="14"/>
        <color indexed="8"/>
        <rFont val="Times New Roman"/>
        <family val="1"/>
      </rPr>
      <t xml:space="preserve"> / 100)</t>
    </r>
  </si>
  <si>
    <t>Количество номеров</t>
  </si>
  <si>
    <t>Количество платежей в год</t>
  </si>
  <si>
    <t>Стоимость за единицу, руб.</t>
  </si>
  <si>
    <t>Количество услуг перевозки</t>
  </si>
  <si>
    <t>Цена услуги перевозки, руб.</t>
  </si>
  <si>
    <r>
      <t>Сумма, руб. (</t>
    </r>
    <r>
      <rPr>
        <sz val="14"/>
        <color indexed="12"/>
        <rFont val="Times New Roman"/>
        <family val="1"/>
      </rPr>
      <t>гр. 3</t>
    </r>
    <r>
      <rPr>
        <sz val="14"/>
        <color indexed="8"/>
        <rFont val="Times New Roman"/>
        <family val="1"/>
      </rPr>
      <t xml:space="preserve"> x </t>
    </r>
    <r>
      <rPr>
        <sz val="14"/>
        <color indexed="12"/>
        <rFont val="Times New Roman"/>
        <family val="1"/>
      </rPr>
      <t>гр. 4</t>
    </r>
    <r>
      <rPr>
        <sz val="14"/>
        <color indexed="8"/>
        <rFont val="Times New Roman"/>
        <family val="1"/>
      </rPr>
      <t>)</t>
    </r>
  </si>
  <si>
    <t>Тариф (с учетом НДС), руб.</t>
  </si>
  <si>
    <t>Индексация, %</t>
  </si>
  <si>
    <r>
      <t>Сумма, руб. (</t>
    </r>
    <r>
      <rPr>
        <sz val="14"/>
        <color indexed="12"/>
        <rFont val="Times New Roman"/>
        <family val="1"/>
      </rPr>
      <t>гр. 4</t>
    </r>
    <r>
      <rPr>
        <sz val="14"/>
        <color indexed="8"/>
        <rFont val="Times New Roman"/>
        <family val="1"/>
      </rPr>
      <t xml:space="preserve"> x </t>
    </r>
    <r>
      <rPr>
        <sz val="14"/>
        <color indexed="12"/>
        <rFont val="Times New Roman"/>
        <family val="1"/>
      </rPr>
      <t>гр. 5</t>
    </r>
    <r>
      <rPr>
        <sz val="14"/>
        <color indexed="8"/>
        <rFont val="Times New Roman"/>
        <family val="1"/>
      </rPr>
      <t xml:space="preserve"> x </t>
    </r>
    <r>
      <rPr>
        <sz val="14"/>
        <color indexed="12"/>
        <rFont val="Times New Roman"/>
        <family val="1"/>
      </rPr>
      <t>гр. 6</t>
    </r>
    <r>
      <rPr>
        <sz val="14"/>
        <color indexed="8"/>
        <rFont val="Times New Roman"/>
        <family val="1"/>
      </rPr>
      <t>)</t>
    </r>
  </si>
  <si>
    <t>Количество</t>
  </si>
  <si>
    <t>Ставка арендной платы</t>
  </si>
  <si>
    <t>Стоимость с учетом НДС, руб.</t>
  </si>
  <si>
    <t>Объект</t>
  </si>
  <si>
    <t>Количество работ (услуг)</t>
  </si>
  <si>
    <t>Стоимость работ (услуг), руб.</t>
  </si>
  <si>
    <t>Количество договоров</t>
  </si>
  <si>
    <t>Стоимость услуги, руб.</t>
  </si>
  <si>
    <t>Средняя стоимость, руб.</t>
  </si>
  <si>
    <r>
      <t>Сумма, руб. (</t>
    </r>
    <r>
      <rPr>
        <sz val="14"/>
        <color indexed="12"/>
        <rFont val="Times New Roman"/>
        <family val="1"/>
      </rPr>
      <t>гр. 2</t>
    </r>
    <r>
      <rPr>
        <sz val="14"/>
        <color indexed="8"/>
        <rFont val="Times New Roman"/>
        <family val="1"/>
      </rPr>
      <t xml:space="preserve"> x </t>
    </r>
    <r>
      <rPr>
        <sz val="14"/>
        <color indexed="12"/>
        <rFont val="Times New Roman"/>
        <family val="1"/>
      </rPr>
      <t>гр. 3</t>
    </r>
    <r>
      <rPr>
        <sz val="14"/>
        <color indexed="8"/>
        <rFont val="Times New Roman"/>
        <family val="1"/>
      </rPr>
      <t>)</t>
    </r>
  </si>
  <si>
    <t>1.2. Расчеты (обоснования) выплат персоналу при направлении в служебные командировки</t>
  </si>
  <si>
    <t>1.3. Расчеты (обоснования) выплат персоналу по уходу за ребенком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</si>
  <si>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</si>
  <si>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2. Расчеты (обоснования) расходов на социальные и иные выплаты населению</t>
  </si>
  <si>
    <t>Код видов расходов _____________________________________________</t>
  </si>
  <si>
    <t>Источник финансового обеспечения______________________________</t>
  </si>
  <si>
    <t>3. Расчет (обоснование) расходов на уплату налогов, сборов и иных платежей</t>
  </si>
  <si>
    <t>Приложение 3</t>
  </si>
  <si>
    <t>УТВЕРЖДАЮ</t>
  </si>
  <si>
    <t>(наименование учреждения)</t>
  </si>
  <si>
    <t>________________________ ___________________</t>
  </si>
  <si>
    <t xml:space="preserve">                      (подпись)                                     (расшифровка  подписи)</t>
  </si>
  <si>
    <t xml:space="preserve">                                      "_____" ____________ 20__ г.</t>
  </si>
  <si>
    <t>СВЕДЕНИЯ</t>
  </si>
  <si>
    <t>ОБ ОПЕРАЦИЯХ С ЦЕЛЕВЫМИ СУБСИДИЯМИ, ПРЕДОСТАВЛЕННЫМИ</t>
  </si>
  <si>
    <t>МУНИЦИПАЛЬНОМУ УЧРЕЖДЕНИЮ НА 20__ Г.</t>
  </si>
  <si>
    <t>КОДЫ</t>
  </si>
  <si>
    <t>Форма по ОКУД</t>
  </si>
  <si>
    <t>Дата  предоставления предыдущих Сведений</t>
  </si>
  <si>
    <t>по ОКТМО</t>
  </si>
  <si>
    <t>Глава по БК</t>
  </si>
  <si>
    <t>по ОКЕИ</t>
  </si>
  <si>
    <t>по ОКВ</t>
  </si>
  <si>
    <t>от "___" ____________ 20___ г.</t>
  </si>
  <si>
    <t>Муниципальное учреждение (подразделение)</t>
  </si>
  <si>
    <t>_________________________</t>
  </si>
  <si>
    <t>ИНН/КПП</t>
  </si>
  <si>
    <t>Наименование бюджета</t>
  </si>
  <si>
    <t>Наименование органа, осуществляющего функции и полномочия учредителя</t>
  </si>
  <si>
    <t>Наименование органа, осуществляющего ведение лицевого счета</t>
  </si>
  <si>
    <t>Единица измерения: руб. (с точностью до второго десятичного знака)</t>
  </si>
  <si>
    <t>(Наименование иностранной валюты)</t>
  </si>
  <si>
    <t xml:space="preserve">Остаток средств на начало года     </t>
  </si>
  <si>
    <t xml:space="preserve">       </t>
  </si>
  <si>
    <t xml:space="preserve">    (наименование должности лица,  утверждающего документ)</t>
  </si>
  <si>
    <t>Наименование субсидии</t>
  </si>
  <si>
    <t>Код субсидии</t>
  </si>
  <si>
    <t>Код объекта ФАИП</t>
  </si>
  <si>
    <t>Разрешенный к использованию остаток субсидии прошлых лет на начало 20__ г.</t>
  </si>
  <si>
    <t>Суммы возврата дебиторской задолженности прошлых лет</t>
  </si>
  <si>
    <t>Планируемые</t>
  </si>
  <si>
    <t>код</t>
  </si>
  <si>
    <t>сумма</t>
  </si>
  <si>
    <t>поступления</t>
  </si>
  <si>
    <t>выплаты</t>
  </si>
  <si>
    <t xml:space="preserve">ОТМЕТКА ОРГАНА, ОСУЩЕСТВЛЯЮЩЕГО ВЕДЕНИЕ ЛИЦЕВОГО СЧЕТА, О ПРИНЯТИИ НАСТОЯЩИХ СВЕДЕНИЙ             </t>
  </si>
  <si>
    <t xml:space="preserve">Номер страницы </t>
  </si>
  <si>
    <t>_______________</t>
  </si>
  <si>
    <t xml:space="preserve">Всего страниц </t>
  </si>
  <si>
    <t>Руководитель</t>
  </si>
  <si>
    <t>___________________                       _______________________</t>
  </si>
  <si>
    <r>
      <t xml:space="preserve">  </t>
    </r>
    <r>
      <rPr>
        <sz val="10"/>
        <color indexed="8"/>
        <rFont val="Times New Roman"/>
        <family val="1"/>
      </rPr>
      <t>(подпись)                                                      (расшифровка подписи)</t>
    </r>
  </si>
  <si>
    <t xml:space="preserve">             </t>
  </si>
  <si>
    <t>Главный бухгалтер</t>
  </si>
  <si>
    <t xml:space="preserve">     Ответственный исполнитель                                    </t>
  </si>
  <si>
    <t>___________________</t>
  </si>
  <si>
    <t>___________          ____________          ____________          ___________</t>
  </si>
  <si>
    <t xml:space="preserve">     (должность)                   (подпись)                       (расшифровка подписи) (телефон)</t>
  </si>
  <si>
    <t xml:space="preserve"> (должность)              (подпись)             (расшифровка подписи) (телефон)</t>
  </si>
  <si>
    <t>"_____"__________20___г.</t>
  </si>
  <si>
    <t>наименование учреждения (подразделения)</t>
  </si>
  <si>
    <t>001</t>
  </si>
  <si>
    <t>002</t>
  </si>
  <si>
    <t>003</t>
  </si>
  <si>
    <t>004</t>
  </si>
  <si>
    <t>005</t>
  </si>
  <si>
    <t>006</t>
  </si>
  <si>
    <t xml:space="preserve"> строка  001  остатки на начало года  201.11 гр. 4-9</t>
  </si>
  <si>
    <t>в том числе: от собственности</t>
  </si>
  <si>
    <t>в графе 3 по 003-013, 039-041 указыв. Коды классификации операций сектора стр. 015-038 виды расхода</t>
  </si>
  <si>
    <t xml:space="preserve"> по строке 005 в гр 9  указывается гранты</t>
  </si>
  <si>
    <t>007</t>
  </si>
  <si>
    <t>009</t>
  </si>
  <si>
    <t>010</t>
  </si>
  <si>
    <t>011</t>
  </si>
  <si>
    <t>012</t>
  </si>
  <si>
    <t>ст 015-038 указыв. Расходы по источникам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</si>
  <si>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</si>
  <si>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</si>
  <si>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</si>
  <si>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</si>
  <si>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</si>
  <si>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</si>
  <si>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</si>
  <si>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</si>
  <si>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</si>
  <si>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</si>
  <si>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</si>
  <si>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</si>
  <si>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</si>
  <si>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</si>
  <si>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</si>
  <si>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</si>
  <si>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</si>
  <si>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</si>
  <si>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</si>
  <si>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</si>
  <si>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</si>
  <si>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</si>
  <si>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</si>
  <si>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</si>
  <si>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</si>
  <si>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</si>
  <si>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</si>
  <si>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</si>
  <si>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</si>
  <si>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0001</t>
  </si>
  <si>
    <t>стр. 0001 = гр.029</t>
  </si>
  <si>
    <t>Стоимость имущества,закрепленного за учреждением на праве оперативного управления</t>
  </si>
  <si>
    <t>в том числе сдаваемого в аренду</t>
  </si>
  <si>
    <t>Стоимость имущества,приобретенное за счет выделенных собственником имущества учреждения средств</t>
  </si>
  <si>
    <t>Стоимость имущества, приобретенного  учреждением за счет доходов,полученных от платной и иной приносящей доход деятельности</t>
  </si>
  <si>
    <t>Балансовая стоимость движимого имущества,приобретенного учреждением за счет доходов, полученных от платной и иной приносящей доход деятельности</t>
  </si>
  <si>
    <t>Балансовая стоимость особо ценного движимого имущества</t>
  </si>
  <si>
    <r>
      <t xml:space="preserve">Код видов расходов </t>
    </r>
    <r>
      <rPr>
        <u val="single"/>
        <sz val="14"/>
        <color indexed="8"/>
        <rFont val="Times New Roman"/>
        <family val="1"/>
      </rPr>
      <t>111, 112, 119</t>
    </r>
  </si>
  <si>
    <r>
      <t xml:space="preserve">Источник финансового обеспечения:  </t>
    </r>
    <r>
      <rPr>
        <u val="single"/>
        <sz val="14"/>
        <color indexed="8"/>
        <rFont val="Times New Roman"/>
        <family val="1"/>
      </rPr>
      <t>субсидии на выполнение муниципального задания</t>
    </r>
  </si>
  <si>
    <t>Административный персонал</t>
  </si>
  <si>
    <t>Педагогический персонал</t>
  </si>
  <si>
    <t>Учебно-вспомогательный персонал</t>
  </si>
  <si>
    <t>Обслуживающий персонал</t>
  </si>
  <si>
    <t>Пособие по уходу за ребенком до 3-х лет</t>
  </si>
  <si>
    <r>
      <t xml:space="preserve">Код видов расходов </t>
    </r>
    <r>
      <rPr>
        <u val="single"/>
        <sz val="14"/>
        <color indexed="8"/>
        <rFont val="Times New Roman"/>
        <family val="1"/>
      </rPr>
      <t>851</t>
    </r>
  </si>
  <si>
    <t>Источник финансового обеспечения:  субсидии на выполнение муниципального задания</t>
  </si>
  <si>
    <t xml:space="preserve">Налог на имущество </t>
  </si>
  <si>
    <t>Земельный налог</t>
  </si>
  <si>
    <t>4. Расчет (обоснование) расходов на закупку товаров, работ, услуг</t>
  </si>
  <si>
    <r>
      <t xml:space="preserve">Код видов расходов </t>
    </r>
    <r>
      <rPr>
        <u val="single"/>
        <sz val="14"/>
        <color indexed="8"/>
        <rFont val="Times New Roman"/>
        <family val="1"/>
      </rPr>
      <t>244</t>
    </r>
  </si>
  <si>
    <t>4.1. Расчет (обоснование) расходов на оплату услуг связи</t>
  </si>
  <si>
    <t>Абонентская плата за телефон</t>
  </si>
  <si>
    <t>4.2. Расчет (обоснование) расходов на оплату транспортных услуг</t>
  </si>
  <si>
    <t>4.3. Расчет (обоснование) расходов на оплату коммунальных услуг</t>
  </si>
  <si>
    <t>Единица измерения</t>
  </si>
  <si>
    <t>Объем потребления ресурсов</t>
  </si>
  <si>
    <t>Теплоэнергия</t>
  </si>
  <si>
    <t>Гкал</t>
  </si>
  <si>
    <t>Тепло для ГВС</t>
  </si>
  <si>
    <t>Электроэнергия</t>
  </si>
  <si>
    <t>Холодное водоснабжение</t>
  </si>
  <si>
    <r>
      <t>м</t>
    </r>
    <r>
      <rPr>
        <vertAlign val="superscript"/>
        <sz val="14"/>
        <color indexed="8"/>
        <rFont val="Times New Roman"/>
        <family val="1"/>
      </rPr>
      <t>3</t>
    </r>
  </si>
  <si>
    <t>Водоотведение</t>
  </si>
  <si>
    <t>Холодное водоснабжение для ГВС</t>
  </si>
  <si>
    <t>4.4. Расчет (обоснование) расходов на оплату аренды имущества</t>
  </si>
  <si>
    <t>4.5. Расчет (обоснование) расходов на оплату работ, услуг по содержанию имущества</t>
  </si>
  <si>
    <t>Вывоз ТБО</t>
  </si>
  <si>
    <t>Обслуживание УУТЭ</t>
  </si>
  <si>
    <t xml:space="preserve">Дератизация </t>
  </si>
  <si>
    <t>Мониторинг работоспособности сетей передачи данных</t>
  </si>
  <si>
    <t>Снегоочистка</t>
  </si>
  <si>
    <t>Аварийный , текущий ремонт</t>
  </si>
  <si>
    <t>Противопожарные мероприятия</t>
  </si>
  <si>
    <t>Гидравлические испытания трубопровода</t>
  </si>
  <si>
    <t>4.6. Расчет (обоснование) расходов на оплату прочих работ, услуг</t>
  </si>
  <si>
    <t>Охрана имущества</t>
  </si>
  <si>
    <t>Медицинский осмотр</t>
  </si>
  <si>
    <t>4.7. Расчет (обоснование) расходов на приобретение основных средств, материальных запасов</t>
  </si>
  <si>
    <t>Приобретение основных средств</t>
  </si>
  <si>
    <t>Приобретение материальных запасов</t>
  </si>
  <si>
    <t>Итого материальных запасов</t>
  </si>
  <si>
    <t>1. Расчет (обоснование) расходов на закупку товаров, работ, услуг</t>
  </si>
  <si>
    <t>Техническое обслуживание пожарной сигнализации</t>
  </si>
  <si>
    <t>Техническое обслуживание противопожарных дверей</t>
  </si>
  <si>
    <t>кВт/ч</t>
  </si>
  <si>
    <t>Приобретение основных средств на учебный процесс ( учебники, орг.техника)</t>
  </si>
  <si>
    <t>Приобретение материальных запасов на учебный процесс (канц.товары, рабочие тетради, )</t>
  </si>
  <si>
    <t>Установленная численность, ставки</t>
  </si>
  <si>
    <t>Фонд оплаты труда в год, руб. 
((гр. 4 х гр.9)+гр.4) х гр.3 х 12</t>
  </si>
  <si>
    <t>Итого  основных средств:</t>
  </si>
  <si>
    <t>ост. На нач..периода</t>
  </si>
  <si>
    <t>платные</t>
  </si>
  <si>
    <t>Услуги связи</t>
  </si>
  <si>
    <t>Обслуживание узла учета тепловой энергии</t>
  </si>
  <si>
    <t>Медицинский осмотр сотрудников</t>
  </si>
  <si>
    <t>Приобретение материальных запасов на учебный процесс ( рабочие тетради , канцелярские принадлежности , моющие средства)</t>
  </si>
  <si>
    <t>Приобретение мебели</t>
  </si>
  <si>
    <t>Дератизация и дезинсекция</t>
  </si>
  <si>
    <r>
      <t xml:space="preserve">Код видов расходов </t>
    </r>
    <r>
      <rPr>
        <u val="single"/>
        <sz val="14"/>
        <color indexed="8"/>
        <rFont val="Times New Roman"/>
        <family val="1"/>
      </rPr>
      <t>244, 242</t>
    </r>
  </si>
  <si>
    <t>Обслуживание ТСО</t>
  </si>
  <si>
    <t>Поверка приборов</t>
  </si>
  <si>
    <t>Прочие услуги</t>
  </si>
  <si>
    <t>Установленная численность, единиц</t>
  </si>
  <si>
    <r>
      <t>Фонд оплаты труда в год, руб. (</t>
    </r>
    <r>
      <rPr>
        <sz val="14"/>
        <color indexed="12"/>
        <rFont val="Times New Roman"/>
        <family val="1"/>
      </rPr>
      <t>гр. 3</t>
    </r>
    <r>
      <rPr>
        <sz val="14"/>
        <color indexed="8"/>
        <rFont val="Times New Roman"/>
        <family val="1"/>
      </rPr>
      <t xml:space="preserve"> x </t>
    </r>
    <r>
      <rPr>
        <sz val="14"/>
        <color indexed="12"/>
        <rFont val="Times New Roman"/>
        <family val="1"/>
      </rPr>
      <t>гр. 4</t>
    </r>
    <r>
      <rPr>
        <sz val="14"/>
        <color indexed="8"/>
        <rFont val="Times New Roman"/>
        <family val="1"/>
      </rPr>
      <t xml:space="preserve"> x (1 + </t>
    </r>
    <r>
      <rPr>
        <sz val="14"/>
        <color indexed="12"/>
        <rFont val="Times New Roman"/>
        <family val="1"/>
      </rPr>
      <t>гр. 8</t>
    </r>
    <r>
      <rPr>
        <sz val="14"/>
        <color indexed="8"/>
        <rFont val="Times New Roman"/>
        <family val="1"/>
      </rPr>
      <t xml:space="preserve"> / 100) x </t>
    </r>
    <r>
      <rPr>
        <sz val="14"/>
        <color indexed="12"/>
        <rFont val="Times New Roman"/>
        <family val="1"/>
      </rPr>
      <t>гр. 9</t>
    </r>
    <r>
      <rPr>
        <sz val="14"/>
        <color indexed="8"/>
        <rFont val="Times New Roman"/>
        <family val="1"/>
      </rPr>
      <t xml:space="preserve"> x 12)</t>
    </r>
  </si>
  <si>
    <t>Расчеты (обоснования) к плану финансово-хозяйственной деятельности муниципального учреждения на 2019г.</t>
  </si>
  <si>
    <t>Источник финансового обеспечения: Приносящая доход деятельность</t>
  </si>
  <si>
    <t>м3</t>
  </si>
  <si>
    <t>Количество д/дни</t>
  </si>
  <si>
    <t>в т.ч. продукты питания 100% оплата</t>
  </si>
  <si>
    <t>продукты питания, 50% оплата</t>
  </si>
  <si>
    <t>1.1. Цели деятельности учреждения (подразделения): формирование общей культуры личности обучающихся ,их адаптация к жизни в обществе; создание условий для осознанного выбора и последущего освоения профессиональных образовательных программ деятельности обучающихся в области воспитание гражданственности,трудолюбия,уважения к правам и свободам человека ,любви к окружающей природе; воспитание гражданственности, трудолюбия, уважения к правам и свободам человека, любви к окружающей природе, Родине, семье, формирование здорового образа жизни.</t>
  </si>
  <si>
    <t>Прочие расходы</t>
  </si>
  <si>
    <t xml:space="preserve">Приобретение материальных запасов </t>
  </si>
  <si>
    <t>1.1. Расчет (обоснование) расходов на оплату коммунальных услуг</t>
  </si>
  <si>
    <t>1.2. Расчет (обоснование) расходов на оплату работ, услуг по содержанию имущества</t>
  </si>
  <si>
    <t>Аварийный , текущий ремонт (за счет средств от арендной платы)</t>
  </si>
  <si>
    <t>Аварийный , текущий ремонт (за счет средств от платной образовательной услуги)</t>
  </si>
  <si>
    <t>ТО системы вентиляции</t>
  </si>
  <si>
    <t>Поверка</t>
  </si>
  <si>
    <t>Обслуживание орг. техники</t>
  </si>
  <si>
    <t>Количество , чел</t>
  </si>
  <si>
    <t>Количество дней питания</t>
  </si>
  <si>
    <t>1-4 кл.</t>
  </si>
  <si>
    <t>5-11 кл.</t>
  </si>
  <si>
    <t>в т.ч. продукты питания (завтраки)</t>
  </si>
  <si>
    <t>продукты питания (обеды)</t>
  </si>
  <si>
    <t>1.3.</t>
  </si>
  <si>
    <t>продукты питания (полдники)</t>
  </si>
  <si>
    <t>1.4.</t>
  </si>
  <si>
    <t>продукты питания (завтраки в субботние дни)</t>
  </si>
  <si>
    <t>Муниципальное бюджетное  образовательное учреждение "Средняя школа № 9 "Петропавловск-Камчатского городского округа"</t>
  </si>
  <si>
    <t>г. Петропавловск-Камчатский, ул. Пограничная д. 103</t>
  </si>
  <si>
    <t>1.2. Основные виды деятельности муниципального учреждения (подразделения): реализация общеобразовательных программ начального общего, основного общего и среднего (полного) общего образования</t>
  </si>
  <si>
    <t>1.4. Общая балансовая стоимость недвижимого муниципального имущества на дату составления Плана, рублей:</t>
  </si>
  <si>
    <t>1.5 Общая балансовая стоимость движимого муниципального имущества на дату составления Плана, рублей:</t>
  </si>
  <si>
    <t>Транспортный налог</t>
  </si>
  <si>
    <t>Стирка белья</t>
  </si>
  <si>
    <t>Подписка</t>
  </si>
  <si>
    <t>Абонентская плата за сотовую связь</t>
  </si>
  <si>
    <t>Приобретение продуктов питания</t>
  </si>
  <si>
    <t>VIII. Сведения о средствах, поступающих во временное распоряжение
муниципального учреждения (подразделения)</t>
  </si>
  <si>
    <t>Услуги австостоянки</t>
  </si>
  <si>
    <t>Обслуживания ТСО</t>
  </si>
  <si>
    <t>Приобретение материальных запасов (ГСМ)</t>
  </si>
  <si>
    <t>Приобретение материальных запасов (продукты питания)</t>
  </si>
  <si>
    <r>
      <t xml:space="preserve">Код видов расходов </t>
    </r>
    <r>
      <rPr>
        <u val="single"/>
        <sz val="14"/>
        <color indexed="8"/>
        <rFont val="Times New Roman"/>
        <family val="1"/>
      </rPr>
      <t>851, 852, 853</t>
    </r>
  </si>
  <si>
    <t>2.</t>
  </si>
  <si>
    <t xml:space="preserve">Прочие услуги </t>
  </si>
  <si>
    <t>Обучение</t>
  </si>
  <si>
    <r>
      <t>Сумма, руб. (</t>
    </r>
    <r>
      <rPr>
        <sz val="12"/>
        <color indexed="12"/>
        <rFont val="Times New Roman"/>
        <family val="1"/>
      </rPr>
      <t>гр. 3</t>
    </r>
    <r>
      <rPr>
        <sz val="12"/>
        <color indexed="8"/>
        <rFont val="Times New Roman"/>
        <family val="1"/>
      </rPr>
      <t xml:space="preserve"> x </t>
    </r>
    <r>
      <rPr>
        <sz val="12"/>
        <color indexed="12"/>
        <rFont val="Times New Roman"/>
        <family val="1"/>
      </rPr>
      <t>гр. 4</t>
    </r>
    <r>
      <rPr>
        <sz val="12"/>
        <color indexed="8"/>
        <rFont val="Times New Roman"/>
        <family val="1"/>
      </rPr>
      <t xml:space="preserve"> x </t>
    </r>
    <r>
      <rPr>
        <sz val="12"/>
        <color indexed="12"/>
        <rFont val="Times New Roman"/>
        <family val="1"/>
      </rPr>
      <t>гр. 5</t>
    </r>
    <r>
      <rPr>
        <sz val="12"/>
        <color indexed="8"/>
        <rFont val="Times New Roman"/>
        <family val="1"/>
      </rPr>
      <t>)</t>
    </r>
  </si>
  <si>
    <r>
      <t>Общая сумма выплат, руб. (</t>
    </r>
    <r>
      <rPr>
        <sz val="12"/>
        <color indexed="12"/>
        <rFont val="Times New Roman"/>
        <family val="1"/>
      </rPr>
      <t>гр. 3</t>
    </r>
    <r>
      <rPr>
        <sz val="12"/>
        <color indexed="8"/>
        <rFont val="Times New Roman"/>
        <family val="1"/>
      </rPr>
      <t xml:space="preserve"> x </t>
    </r>
    <r>
      <rPr>
        <sz val="12"/>
        <color indexed="12"/>
        <rFont val="Times New Roman"/>
        <family val="1"/>
      </rPr>
      <t>гр. 4</t>
    </r>
    <r>
      <rPr>
        <sz val="12"/>
        <color indexed="8"/>
        <rFont val="Times New Roman"/>
        <family val="1"/>
      </rPr>
      <t>)</t>
    </r>
  </si>
  <si>
    <r>
      <t>Сумма исчисленного налога, подлежащего уплате, руб. (</t>
    </r>
    <r>
      <rPr>
        <sz val="12"/>
        <color indexed="12"/>
        <rFont val="Times New Roman"/>
        <family val="1"/>
      </rPr>
      <t>гр. 3</t>
    </r>
    <r>
      <rPr>
        <sz val="12"/>
        <color indexed="8"/>
        <rFont val="Times New Roman"/>
        <family val="1"/>
      </rPr>
      <t xml:space="preserve"> x </t>
    </r>
    <r>
      <rPr>
        <sz val="12"/>
        <color indexed="12"/>
        <rFont val="Times New Roman"/>
        <family val="1"/>
      </rPr>
      <t>гр. 4</t>
    </r>
    <r>
      <rPr>
        <sz val="12"/>
        <color indexed="8"/>
        <rFont val="Times New Roman"/>
        <family val="1"/>
      </rPr>
      <t xml:space="preserve"> / 100)</t>
    </r>
  </si>
  <si>
    <t xml:space="preserve"> финансово-хозяйственной деятельности</t>
  </si>
  <si>
    <t>к Порядку составления и утверждения плана</t>
  </si>
  <si>
    <r>
      <t>Сумма, руб. (</t>
    </r>
    <r>
      <rPr>
        <sz val="12"/>
        <color indexed="12"/>
        <rFont val="Times New Roman"/>
        <family val="1"/>
      </rPr>
      <t>гр. 4</t>
    </r>
    <r>
      <rPr>
        <sz val="12"/>
        <color indexed="8"/>
        <rFont val="Times New Roman"/>
        <family val="1"/>
      </rPr>
      <t xml:space="preserve"> x </t>
    </r>
    <r>
      <rPr>
        <sz val="12"/>
        <color indexed="12"/>
        <rFont val="Times New Roman"/>
        <family val="1"/>
      </rPr>
      <t>гр. 5</t>
    </r>
    <r>
      <rPr>
        <sz val="12"/>
        <color indexed="8"/>
        <rFont val="Times New Roman"/>
        <family val="1"/>
      </rPr>
      <t xml:space="preserve"> x </t>
    </r>
    <r>
      <rPr>
        <sz val="12"/>
        <color indexed="12"/>
        <rFont val="Times New Roman"/>
        <family val="1"/>
      </rPr>
      <t>гр. 6</t>
    </r>
    <r>
      <rPr>
        <sz val="12"/>
        <color indexed="8"/>
        <rFont val="Times New Roman"/>
        <family val="1"/>
      </rPr>
      <t>)</t>
    </r>
  </si>
  <si>
    <r>
      <t>Сумма, руб. (</t>
    </r>
    <r>
      <rPr>
        <sz val="12"/>
        <color indexed="12"/>
        <rFont val="Times New Roman"/>
        <family val="1"/>
      </rPr>
      <t>гр. 2</t>
    </r>
    <r>
      <rPr>
        <sz val="12"/>
        <color indexed="8"/>
        <rFont val="Times New Roman"/>
        <family val="1"/>
      </rPr>
      <t xml:space="preserve"> x </t>
    </r>
    <r>
      <rPr>
        <sz val="12"/>
        <color indexed="12"/>
        <rFont val="Times New Roman"/>
        <family val="1"/>
      </rPr>
      <t>гр. 3</t>
    </r>
    <r>
      <rPr>
        <sz val="12"/>
        <color indexed="8"/>
        <rFont val="Times New Roman"/>
        <family val="1"/>
      </rPr>
      <t>)</t>
    </r>
  </si>
  <si>
    <r>
      <t>Сумма, руб. ((</t>
    </r>
    <r>
      <rPr>
        <sz val="12"/>
        <color indexed="12"/>
        <rFont val="Times New Roman"/>
        <family val="1"/>
      </rPr>
      <t>гр. 2</t>
    </r>
    <r>
      <rPr>
        <sz val="12"/>
        <color indexed="8"/>
        <rFont val="Times New Roman"/>
        <family val="1"/>
      </rPr>
      <t xml:space="preserve"> x </t>
    </r>
    <r>
      <rPr>
        <sz val="12"/>
        <color indexed="12"/>
        <rFont val="Times New Roman"/>
        <family val="1"/>
      </rPr>
      <t>гр. 4)+(гр.3 хгр.5)</t>
    </r>
    <r>
      <rPr>
        <sz val="12"/>
        <color indexed="8"/>
        <rFont val="Times New Roman"/>
        <family val="1"/>
      </rPr>
      <t>)хгр.6</t>
    </r>
  </si>
  <si>
    <t>текущие</t>
  </si>
  <si>
    <t>Оздоровительное мероприятие (пришкольный лагерь)</t>
  </si>
  <si>
    <t>Уплата штрафа</t>
  </si>
  <si>
    <t>ТО видеонаблюдение</t>
  </si>
  <si>
    <t>ТО противопожарных дверей</t>
  </si>
  <si>
    <t>Договор ГПХ</t>
  </si>
  <si>
    <t>Обслуживание орг.техники</t>
  </si>
  <si>
    <t xml:space="preserve">Прочие расходы по содержанию имущества </t>
  </si>
  <si>
    <t>Программное обеспечение</t>
  </si>
  <si>
    <t>,</t>
  </si>
  <si>
    <t>на __________ 2020 г.</t>
  </si>
  <si>
    <t>на __________ 2019 г.</t>
  </si>
  <si>
    <t>Прочие услуги с арендной платы</t>
  </si>
  <si>
    <t>Расчеты (обоснования) к плану финансово-хозяйственной деятельности муниципального учреждения на 2019 год</t>
  </si>
  <si>
    <t>Расчеты (обоснования) к плану финансово-хозяйственной деятельности муниципального учреждения на 2020г.</t>
  </si>
  <si>
    <t>Расчеты (обоснования) к плану финансово-хозяйственной деятельности муниципального учреждения на 2020 год</t>
  </si>
  <si>
    <t>Командировочные расходы</t>
  </si>
  <si>
    <t>Арендная плата</t>
  </si>
  <si>
    <t>Услуги автостоянки</t>
  </si>
  <si>
    <t>1.1. Расчет (обоснование) расходов на приобретение основных средств, материальных запасов</t>
  </si>
  <si>
    <t>1.2. Расчет (обоснование) расходов на приобретение основных средств, материальных запасов</t>
  </si>
  <si>
    <t>Исполнитель: Богомякова Е.Г.</t>
  </si>
  <si>
    <t xml:space="preserve"> тел.:  305-525*2780</t>
  </si>
  <si>
    <t>Очистка кровли от снега и льда</t>
  </si>
  <si>
    <t>Электромонтажные работы</t>
  </si>
  <si>
    <t>Замена оконных и дверных блоков</t>
  </si>
  <si>
    <t>Ремонт УУ</t>
  </si>
  <si>
    <t>Страховая премия</t>
  </si>
  <si>
    <t>Электронная подпись</t>
  </si>
  <si>
    <t>Приобритение удостоверения и аттестатов</t>
  </si>
  <si>
    <t>1. Расчет (обоснование) расходов на уплату налогов, сборов и иных платежей</t>
  </si>
  <si>
    <t>2. Расчет (обоснование) расходов на оплату работ, услуг по содержанию имущества</t>
  </si>
  <si>
    <r>
      <t xml:space="preserve">Код видов расходов </t>
    </r>
    <r>
      <rPr>
        <u val="single"/>
        <sz val="14"/>
        <color indexed="8"/>
        <rFont val="Times New Roman"/>
        <family val="1"/>
      </rPr>
      <t>853</t>
    </r>
  </si>
  <si>
    <t>Штрафы, госпошлина</t>
  </si>
  <si>
    <t>тел.:  305-525#2780</t>
  </si>
  <si>
    <t xml:space="preserve"> Прочие услуги (за счет средств от эксплуатационных расходов)</t>
  </si>
  <si>
    <t>Пришкольный лагерь, эксплуатационные услуги</t>
  </si>
  <si>
    <t xml:space="preserve">на 01.01.2019г. </t>
  </si>
  <si>
    <t>на 2019 г.</t>
  </si>
  <si>
    <t>Расчеты (обоснования) к плану финансово-хозяйственной деятельности муниципального учреждения на 2021 год</t>
  </si>
  <si>
    <t>Расчеты (обоснования) к плану финансово-хозяйственной деятельности муниципального учреждения на 2021г.</t>
  </si>
  <si>
    <t>на __________ 2021 г.</t>
  </si>
  <si>
    <t>на ________________ 2019 г. и плановый период 2020г.и 2021г.</t>
  </si>
  <si>
    <t>на 2019г. очередной финансовый год</t>
  </si>
  <si>
    <t>на 2020 г. 1-ый год планового периода</t>
  </si>
  <si>
    <t>на 2021 г. 2-ой год планового периода</t>
  </si>
  <si>
    <t>пришкольный</t>
  </si>
  <si>
    <t>Транспортные услуги</t>
  </si>
  <si>
    <t>Техническое обслуживание с устранением аварийных ситуаций на инженерных системах</t>
  </si>
  <si>
    <t>Техническое обслуживание систем вентиляции</t>
  </si>
  <si>
    <t>Прочие услуги по содержанию имущества</t>
  </si>
  <si>
    <t>042</t>
  </si>
  <si>
    <t>2. Расчет (обоснование) расходов на оплату прочих работ, услуг</t>
  </si>
  <si>
    <t>3. Расчет (обоснование) расходов на приобретение основных средств, материальных запасов</t>
  </si>
  <si>
    <t>3.1. Расчет (обоснование) расходов на приобретение основных средств, материальных запасов</t>
  </si>
  <si>
    <t>транспортные услуги</t>
  </si>
  <si>
    <t>Педагогический персонал (школа)</t>
  </si>
  <si>
    <t>Педагогический персонал (сад)</t>
  </si>
  <si>
    <t>Учебно-вспомогательный персонал (школа)</t>
  </si>
  <si>
    <t>Учебно-вспомогательный персонал (сад)</t>
  </si>
  <si>
    <t>Обслуживающий персонал (школа)</t>
  </si>
  <si>
    <t>Обслуживающий персонал (сад)</t>
  </si>
  <si>
    <t>Транспортые услуги</t>
  </si>
  <si>
    <t>Испытания и электрические измерения электросетей</t>
  </si>
  <si>
    <t>ТО видеонаблюдения</t>
  </si>
  <si>
    <t>Приобретение прочих материальных запасов</t>
  </si>
  <si>
    <t>кредиторская задолженность за счет субсидии на иные цели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</si>
</sst>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&quot;₽&quot;_-;\-* #,##0\ &quot;₽&quot;_-;_-* &quot;-&quot;\ &quot;₽&quot;_-;_-@_-"/>
    <numFmt numFmtId="165" formatCode="_-* #,##0\ _₽_-;\-* #,##0\ _₽_-;_-* &quot;-&quot;\ _₽_-;_-@_-"/>
    <numFmt numFmtId="166" formatCode="_-* #,##0.00\ &quot;₽&quot;_-;\-* #,##0.00\ &quot;₽&quot;_-;_-* &quot;-&quot;??\ &quot;₽&quot;_-;_-@_-"/>
    <numFmt numFmtId="167" formatCode="_-* #,##0.00\ _₽_-;\-* #,##0.00\ _₽_-;_-* &quot;-&quot;??\ _₽_-;_-@_-"/>
    <numFmt numFmtId="168" formatCode="#,##0.00000"/>
    <numFmt numFmtId="169" formatCode="0.000"/>
    <numFmt numFmtId="170" formatCode="#,##0.0000"/>
    <numFmt numFmtId="171" formatCode="_-* #,##0\ _₽_-;\-* #,##0\ _₽_-;_-* &quot;-&quot;??\ _₽_-;_-@_-"/>
    <numFmt numFmtId="172" formatCode="_-* #,##0.000000\ _₽_-;\-* #,##0.000000\ _₽_-;_-* &quot;-&quot;??\ _₽_-;_-@_-"/>
    <numFmt numFmtId="173" formatCode="_-* #,##0.000000_р_._-;\-* #,##0.000000_р_._-;_-* &quot;-&quot;??????_р_._-;_-@_-"/>
    <numFmt numFmtId="174" formatCode="0.00000000000000"/>
    <numFmt numFmtId="175" formatCode="#,##0.000000"/>
    <numFmt numFmtId="176" formatCode="#,##0.0000000"/>
    <numFmt numFmtId="177" formatCode="#,##0.00000000"/>
    <numFmt numFmtId="178" formatCode="#,##0.000000000"/>
    <numFmt numFmtId="179" formatCode="#,##0.00000000000"/>
    <numFmt numFmtId="180" formatCode="#,##0.0000000000000000"/>
    <numFmt numFmtId="181" formatCode="_-* #,##0.0000000\ _₽_-;\-* #,##0.0000000\ _₽_-;_-* &quot;-&quot;??\ _₽_-;_-@_-"/>
    <numFmt numFmtId="182" formatCode="0.000000000"/>
    <numFmt numFmtId="183" formatCode="0.00000000000"/>
    <numFmt numFmtId="184" formatCode="_-* #,##0.0000_р_._-;\-* #,##0.0000_р_._-;_-* &quot;-&quot;??_р_._-;_-@_-"/>
    <numFmt numFmtId="185" formatCode="_-* #,##0.0000000_р_._-;\-* #,##0.0000000_р_._-;_-* &quot;-&quot;??_р_._-;_-@_-"/>
    <numFmt numFmtId="186" formatCode="0.000000000000000"/>
    <numFmt numFmtId="187" formatCode="_-* #,##0.0000000000\ _₽_-;\-* #,##0.0000000000\ _₽_-;_-* &quot;-&quot;??\ _₽_-;_-@_-"/>
    <numFmt numFmtId="188" formatCode="_-* #,##0.00000000000\ _₽_-;\-* #,##0.00000000000\ _₽_-;_-* &quot;-&quot;??\ _₽_-;_-@_-"/>
    <numFmt numFmtId="189" formatCode="_-* #,##0.000000000000\ _₽_-;\-* #,##0.000000000000\ _₽_-;_-* &quot;-&quot;??\ _₽_-;_-@_-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12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1"/>
    </font>
    <font>
      <u val="single"/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6.6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Times New Roman"/>
      <family val="1"/>
    </font>
    <font>
      <sz val="11"/>
      <name val="Calibri"/>
      <family val="2"/>
    </font>
    <font>
      <i/>
      <sz val="14"/>
      <color indexed="8"/>
      <name val="Times New Roman"/>
      <family val="1"/>
    </font>
    <font>
      <sz val="11"/>
      <color indexed="55"/>
      <name val="Calibri"/>
      <family val="2"/>
    </font>
    <font>
      <b/>
      <u val="single"/>
      <sz val="14"/>
      <color indexed="8"/>
      <name val="Times New Roman"/>
      <family val="1"/>
    </font>
    <font>
      <u val="single"/>
      <sz val="14"/>
      <color indexed="30"/>
      <name val="Times New Roman"/>
      <family val="1"/>
    </font>
    <font>
      <b/>
      <sz val="18"/>
      <color indexed="8"/>
      <name val="Times New Roman"/>
      <family val="1"/>
    </font>
    <font>
      <sz val="16"/>
      <color indexed="8"/>
      <name val="Times New Roman"/>
      <family val="1"/>
    </font>
    <font>
      <u val="single"/>
      <sz val="12"/>
      <color indexed="30"/>
      <name val="Calibri"/>
      <family val="2"/>
    </font>
    <font>
      <sz val="9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Calibri"/>
      <family val="2"/>
    </font>
    <font>
      <sz val="11"/>
      <color theme="0"/>
      <name val="Times New Roman"/>
      <family val="1"/>
    </font>
    <font>
      <i/>
      <sz val="14"/>
      <color theme="1"/>
      <name val="Times New Roman"/>
      <family val="1"/>
    </font>
    <font>
      <sz val="11"/>
      <color theme="0" tint="-0.3499799966812134"/>
      <name val="Calibri"/>
      <family val="2"/>
    </font>
    <font>
      <b/>
      <sz val="18"/>
      <color theme="1"/>
      <name val="Times New Roman"/>
      <family val="1"/>
    </font>
    <font>
      <sz val="16"/>
      <color theme="1"/>
      <name val="Times New Roman"/>
      <family val="1"/>
    </font>
    <font>
      <u val="single"/>
      <sz val="14"/>
      <color theme="10"/>
      <name val="Times New Roman"/>
      <family val="1"/>
    </font>
    <font>
      <b/>
      <u val="single"/>
      <sz val="14"/>
      <color theme="1"/>
      <name val="Times New Roman"/>
      <family val="1"/>
    </font>
    <font>
      <u val="single"/>
      <sz val="12"/>
      <color theme="10"/>
      <name val="Calibri"/>
      <family val="2"/>
    </font>
    <font>
      <sz val="9"/>
      <color theme="1"/>
      <name val="Times New Roman"/>
      <family val="1"/>
    </font>
    <font>
      <u val="single"/>
      <sz val="14"/>
      <color theme="1"/>
      <name val="Times New Roman"/>
      <family val="1"/>
    </font>
    <font>
      <sz val="15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457">
    <xf numFmtId="0" fontId="0" fillId="0" borderId="0" xfId="0" applyFont="1" applyAlignment="1">
      <alignment/>
    </xf>
    <xf numFmtId="0" fontId="67" fillId="0" borderId="10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12" xfId="0" applyFont="1" applyBorder="1" applyAlignment="1">
      <alignment vertical="center" wrapText="1"/>
    </xf>
    <xf numFmtId="0" fontId="67" fillId="0" borderId="13" xfId="0" applyFont="1" applyBorder="1" applyAlignment="1">
      <alignment vertical="center" wrapText="1"/>
    </xf>
    <xf numFmtId="0" fontId="67" fillId="0" borderId="11" xfId="0" applyFont="1" applyBorder="1" applyAlignment="1">
      <alignment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/>
    </xf>
    <xf numFmtId="0" fontId="67" fillId="0" borderId="0" xfId="0" applyFont="1" applyAlignment="1">
      <alignment horizontal="right" vertical="center"/>
    </xf>
    <xf numFmtId="0" fontId="67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vertical="center" wrapText="1"/>
    </xf>
    <xf numFmtId="0" fontId="68" fillId="0" borderId="0" xfId="0" applyFont="1" applyAlignment="1">
      <alignment horizontal="right" vertical="center"/>
    </xf>
    <xf numFmtId="0" fontId="69" fillId="0" borderId="0" xfId="0" applyFont="1" applyAlignment="1">
      <alignment horizontal="center" vertical="center" wrapText="1"/>
    </xf>
    <xf numFmtId="0" fontId="67" fillId="0" borderId="14" xfId="0" applyFont="1" applyBorder="1" applyAlignment="1">
      <alignment horizontal="left" vertical="center" wrapText="1" indent="1"/>
    </xf>
    <xf numFmtId="0" fontId="67" fillId="0" borderId="11" xfId="0" applyFont="1" applyBorder="1" applyAlignment="1">
      <alignment horizontal="left" vertical="center" wrapText="1" indent="1"/>
    </xf>
    <xf numFmtId="0" fontId="70" fillId="0" borderId="12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left" vertical="center" wrapText="1"/>
    </xf>
    <xf numFmtId="4" fontId="67" fillId="0" borderId="12" xfId="0" applyNumberFormat="1" applyFont="1" applyBorder="1" applyAlignment="1">
      <alignment horizontal="center" vertical="center" wrapText="1"/>
    </xf>
    <xf numFmtId="0" fontId="71" fillId="0" borderId="0" xfId="0" applyFont="1" applyAlignment="1">
      <alignment horizontal="right" vertical="center"/>
    </xf>
    <xf numFmtId="0" fontId="67" fillId="0" borderId="0" xfId="0" applyFont="1" applyAlignment="1">
      <alignment vertical="center"/>
    </xf>
    <xf numFmtId="0" fontId="67" fillId="0" borderId="0" xfId="0" applyFont="1" applyAlignment="1">
      <alignment horizontal="justify" vertical="center" wrapText="1"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/>
    </xf>
    <xf numFmtId="0" fontId="68" fillId="0" borderId="0" xfId="0" applyFont="1" applyAlignment="1">
      <alignment horizontal="justify" vertical="center"/>
    </xf>
    <xf numFmtId="0" fontId="69" fillId="0" borderId="15" xfId="0" applyFont="1" applyBorder="1" applyAlignment="1">
      <alignment/>
    </xf>
    <xf numFmtId="0" fontId="69" fillId="0" borderId="0" xfId="0" applyFont="1" applyAlignment="1">
      <alignment horizontal="left" wrapText="1"/>
    </xf>
    <xf numFmtId="0" fontId="69" fillId="0" borderId="0" xfId="0" applyFont="1" applyAlignment="1">
      <alignment horizontal="center"/>
    </xf>
    <xf numFmtId="0" fontId="69" fillId="0" borderId="0" xfId="0" applyFont="1" applyAlignment="1">
      <alignment horizontal="right" wrapText="1"/>
    </xf>
    <xf numFmtId="0" fontId="69" fillId="0" borderId="16" xfId="0" applyFont="1" applyBorder="1" applyAlignment="1">
      <alignment horizontal="right" wrapText="1"/>
    </xf>
    <xf numFmtId="0" fontId="69" fillId="0" borderId="0" xfId="0" applyFont="1" applyBorder="1" applyAlignment="1">
      <alignment/>
    </xf>
    <xf numFmtId="0" fontId="69" fillId="0" borderId="15" xfId="0" applyFont="1" applyBorder="1" applyAlignment="1">
      <alignment horizontal="center" vertical="center"/>
    </xf>
    <xf numFmtId="0" fontId="67" fillId="0" borderId="17" xfId="0" applyFont="1" applyBorder="1" applyAlignment="1">
      <alignment vertical="center" wrapText="1"/>
    </xf>
    <xf numFmtId="0" fontId="67" fillId="0" borderId="18" xfId="0" applyFont="1" applyBorder="1" applyAlignment="1">
      <alignment vertical="center" wrapText="1"/>
    </xf>
    <xf numFmtId="0" fontId="67" fillId="0" borderId="10" xfId="0" applyFont="1" applyBorder="1" applyAlignment="1">
      <alignment vertical="center" wrapText="1"/>
    </xf>
    <xf numFmtId="0" fontId="67" fillId="0" borderId="0" xfId="0" applyFont="1" applyAlignment="1">
      <alignment horizontal="left" vertical="center" wrapText="1" indent="1"/>
    </xf>
    <xf numFmtId="0" fontId="68" fillId="0" borderId="0" xfId="0" applyFont="1" applyAlignment="1">
      <alignment horizontal="justify" vertical="center" wrapText="1"/>
    </xf>
    <xf numFmtId="0" fontId="0" fillId="0" borderId="0" xfId="0" applyAlignment="1">
      <alignment vertical="top" wrapText="1"/>
    </xf>
    <xf numFmtId="0" fontId="69" fillId="0" borderId="0" xfId="0" applyFont="1" applyAlignment="1">
      <alignment horizontal="left"/>
    </xf>
    <xf numFmtId="0" fontId="67" fillId="0" borderId="0" xfId="0" applyFont="1" applyAlignment="1">
      <alignment vertical="top"/>
    </xf>
    <xf numFmtId="49" fontId="67" fillId="0" borderId="12" xfId="0" applyNumberFormat="1" applyFont="1" applyBorder="1" applyAlignment="1">
      <alignment horizontal="center" vertical="center" wrapText="1"/>
    </xf>
    <xf numFmtId="0" fontId="72" fillId="33" borderId="0" xfId="0" applyFont="1" applyFill="1" applyAlignment="1">
      <alignment horizontal="center" vertical="center" wrapText="1"/>
    </xf>
    <xf numFmtId="0" fontId="73" fillId="0" borderId="11" xfId="0" applyFont="1" applyBorder="1" applyAlignment="1">
      <alignment horizontal="left" vertical="center" wrapText="1" indent="1"/>
    </xf>
    <xf numFmtId="49" fontId="73" fillId="0" borderId="12" xfId="0" applyNumberFormat="1" applyFont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 wrapText="1"/>
    </xf>
    <xf numFmtId="4" fontId="73" fillId="0" borderId="12" xfId="0" applyNumberFormat="1" applyFont="1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4" fontId="72" fillId="0" borderId="0" xfId="0" applyNumberFormat="1" applyFont="1" applyAlignment="1">
      <alignment horizontal="center" vertical="center" wrapText="1"/>
    </xf>
    <xf numFmtId="0" fontId="73" fillId="0" borderId="11" xfId="0" applyFont="1" applyBorder="1" applyAlignment="1">
      <alignment horizontal="left" vertical="center" wrapText="1"/>
    </xf>
    <xf numFmtId="0" fontId="74" fillId="34" borderId="11" xfId="0" applyFont="1" applyFill="1" applyBorder="1" applyAlignment="1">
      <alignment horizontal="left" vertical="center" wrapText="1"/>
    </xf>
    <xf numFmtId="49" fontId="74" fillId="34" borderId="12" xfId="0" applyNumberFormat="1" applyFont="1" applyFill="1" applyBorder="1" applyAlignment="1">
      <alignment horizontal="center" vertical="center" wrapText="1"/>
    </xf>
    <xf numFmtId="0" fontId="74" fillId="34" borderId="12" xfId="0" applyFont="1" applyFill="1" applyBorder="1" applyAlignment="1">
      <alignment horizontal="center" vertical="center" wrapText="1"/>
    </xf>
    <xf numFmtId="4" fontId="74" fillId="34" borderId="12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6" fillId="34" borderId="11" xfId="0" applyFont="1" applyFill="1" applyBorder="1" applyAlignment="1">
      <alignment horizontal="left" vertical="center" wrapText="1"/>
    </xf>
    <xf numFmtId="49" fontId="6" fillId="34" borderId="12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4" fontId="6" fillId="34" borderId="12" xfId="0" applyNumberFormat="1" applyFont="1" applyFill="1" applyBorder="1" applyAlignment="1">
      <alignment horizontal="center" vertical="center" wrapText="1"/>
    </xf>
    <xf numFmtId="0" fontId="74" fillId="33" borderId="0" xfId="0" applyFont="1" applyFill="1" applyAlignment="1">
      <alignment horizontal="center" vertical="center" wrapText="1"/>
    </xf>
    <xf numFmtId="2" fontId="67" fillId="0" borderId="15" xfId="0" applyNumberFormat="1" applyFont="1" applyBorder="1" applyAlignment="1">
      <alignment horizontal="center" vertical="center" wrapText="1"/>
    </xf>
    <xf numFmtId="0" fontId="67" fillId="33" borderId="0" xfId="0" applyFont="1" applyFill="1" applyAlignment="1">
      <alignment horizontal="center" vertical="center" wrapText="1"/>
    </xf>
    <xf numFmtId="0" fontId="67" fillId="33" borderId="11" xfId="0" applyFont="1" applyFill="1" applyBorder="1" applyAlignment="1">
      <alignment vertical="center" wrapText="1"/>
    </xf>
    <xf numFmtId="0" fontId="67" fillId="33" borderId="12" xfId="0" applyFont="1" applyFill="1" applyBorder="1" applyAlignment="1">
      <alignment horizontal="center" vertical="center" wrapText="1"/>
    </xf>
    <xf numFmtId="4" fontId="67" fillId="33" borderId="12" xfId="0" applyNumberFormat="1" applyFont="1" applyFill="1" applyBorder="1" applyAlignment="1">
      <alignment horizontal="center" vertical="center" wrapText="1"/>
    </xf>
    <xf numFmtId="0" fontId="67" fillId="33" borderId="0" xfId="0" applyFont="1" applyFill="1" applyBorder="1" applyAlignment="1">
      <alignment vertical="center" wrapText="1"/>
    </xf>
    <xf numFmtId="0" fontId="69" fillId="0" borderId="0" xfId="0" applyFont="1" applyBorder="1" applyAlignment="1">
      <alignment horizontal="right" wrapText="1"/>
    </xf>
    <xf numFmtId="49" fontId="67" fillId="0" borderId="0" xfId="0" applyNumberFormat="1" applyFont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49" fontId="67" fillId="33" borderId="12" xfId="0" applyNumberFormat="1" applyFont="1" applyFill="1" applyBorder="1" applyAlignment="1">
      <alignment horizontal="center" vertical="center" wrapText="1"/>
    </xf>
    <xf numFmtId="0" fontId="73" fillId="33" borderId="12" xfId="0" applyFont="1" applyFill="1" applyBorder="1" applyAlignment="1">
      <alignment horizontal="center" vertical="center" wrapText="1"/>
    </xf>
    <xf numFmtId="4" fontId="73" fillId="33" borderId="12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57" fillId="35" borderId="0" xfId="0" applyNumberFormat="1" applyFont="1" applyFill="1" applyAlignment="1">
      <alignment/>
    </xf>
    <xf numFmtId="168" fontId="0" fillId="0" borderId="0" xfId="0" applyNumberFormat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67" fillId="33" borderId="10" xfId="0" applyFont="1" applyFill="1" applyBorder="1" applyAlignment="1">
      <alignment horizontal="center" vertical="center" wrapText="1"/>
    </xf>
    <xf numFmtId="2" fontId="67" fillId="33" borderId="12" xfId="0" applyNumberFormat="1" applyFont="1" applyFill="1" applyBorder="1" applyAlignment="1">
      <alignment horizontal="center" vertical="center" wrapText="1"/>
    </xf>
    <xf numFmtId="0" fontId="73" fillId="33" borderId="12" xfId="0" applyFont="1" applyFill="1" applyBorder="1" applyAlignment="1">
      <alignment horizontal="right" vertical="center" wrapText="1"/>
    </xf>
    <xf numFmtId="2" fontId="73" fillId="33" borderId="12" xfId="0" applyNumberFormat="1" applyFont="1" applyFill="1" applyBorder="1" applyAlignment="1">
      <alignment horizontal="center" vertical="center" wrapText="1"/>
    </xf>
    <xf numFmtId="167" fontId="73" fillId="33" borderId="12" xfId="60" applyFont="1" applyFill="1" applyBorder="1" applyAlignment="1">
      <alignment horizontal="center" vertical="center" wrapText="1"/>
    </xf>
    <xf numFmtId="0" fontId="67" fillId="33" borderId="12" xfId="0" applyFont="1" applyFill="1" applyBorder="1" applyAlignment="1">
      <alignment vertical="center" wrapText="1"/>
    </xf>
    <xf numFmtId="0" fontId="67" fillId="33" borderId="13" xfId="0" applyFont="1" applyFill="1" applyBorder="1" applyAlignment="1">
      <alignment horizontal="justify" vertical="center" wrapText="1"/>
    </xf>
    <xf numFmtId="0" fontId="67" fillId="33" borderId="12" xfId="0" applyFont="1" applyFill="1" applyBorder="1" applyAlignment="1">
      <alignment horizontal="justify" vertical="center" wrapText="1"/>
    </xf>
    <xf numFmtId="0" fontId="67" fillId="33" borderId="12" xfId="0" applyFont="1" applyFill="1" applyBorder="1" applyAlignment="1">
      <alignment horizontal="left" vertical="center" wrapText="1" indent="4"/>
    </xf>
    <xf numFmtId="0" fontId="67" fillId="33" borderId="0" xfId="0" applyFont="1" applyFill="1" applyAlignment="1">
      <alignment horizontal="justify" vertical="center"/>
    </xf>
    <xf numFmtId="167" fontId="67" fillId="33" borderId="12" xfId="60" applyFont="1" applyFill="1" applyBorder="1" applyAlignment="1">
      <alignment horizontal="center" vertical="center" wrapText="1"/>
    </xf>
    <xf numFmtId="2" fontId="0" fillId="33" borderId="0" xfId="0" applyNumberFormat="1" applyFill="1" applyAlignment="1">
      <alignment/>
    </xf>
    <xf numFmtId="0" fontId="67" fillId="33" borderId="0" xfId="0" applyFont="1" applyFill="1" applyAlignment="1">
      <alignment vertical="center"/>
    </xf>
    <xf numFmtId="167" fontId="73" fillId="33" borderId="12" xfId="0" applyNumberFormat="1" applyFont="1" applyFill="1" applyBorder="1" applyAlignment="1">
      <alignment horizontal="center" vertical="center" wrapText="1"/>
    </xf>
    <xf numFmtId="0" fontId="67" fillId="33" borderId="12" xfId="0" applyFont="1" applyFill="1" applyBorder="1" applyAlignment="1">
      <alignment horizontal="left" vertical="center" wrapText="1"/>
    </xf>
    <xf numFmtId="0" fontId="73" fillId="33" borderId="12" xfId="0" applyFont="1" applyFill="1" applyBorder="1" applyAlignment="1">
      <alignment horizontal="left" vertical="center" wrapText="1"/>
    </xf>
    <xf numFmtId="4" fontId="69" fillId="0" borderId="0" xfId="0" applyNumberFormat="1" applyFont="1" applyAlignment="1">
      <alignment horizontal="center" vertical="center" wrapText="1"/>
    </xf>
    <xf numFmtId="4" fontId="7" fillId="33" borderId="0" xfId="0" applyNumberFormat="1" applyFont="1" applyFill="1" applyAlignment="1">
      <alignment horizontal="center" vertical="center" wrapText="1"/>
    </xf>
    <xf numFmtId="167" fontId="67" fillId="33" borderId="12" xfId="0" applyNumberFormat="1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4" fontId="74" fillId="33" borderId="0" xfId="0" applyNumberFormat="1" applyFont="1" applyFill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57" fillId="0" borderId="0" xfId="0" applyFont="1" applyAlignment="1">
      <alignment/>
    </xf>
    <xf numFmtId="10" fontId="67" fillId="0" borderId="12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0" fontId="73" fillId="0" borderId="12" xfId="0" applyFont="1" applyBorder="1" applyAlignment="1">
      <alignment vertical="center" wrapText="1"/>
    </xf>
    <xf numFmtId="0" fontId="73" fillId="0" borderId="12" xfId="0" applyFont="1" applyBorder="1" applyAlignment="1">
      <alignment horizontal="justify" vertical="center" wrapText="1"/>
    </xf>
    <xf numFmtId="4" fontId="73" fillId="0" borderId="12" xfId="0" applyNumberFormat="1" applyFont="1" applyBorder="1" applyAlignment="1">
      <alignment vertical="center" wrapText="1"/>
    </xf>
    <xf numFmtId="2" fontId="67" fillId="0" borderId="15" xfId="0" applyNumberFormat="1" applyFont="1" applyFill="1" applyBorder="1" applyAlignment="1">
      <alignment horizontal="center" vertical="center" wrapText="1"/>
    </xf>
    <xf numFmtId="0" fontId="67" fillId="0" borderId="0" xfId="0" applyFont="1" applyFill="1" applyAlignment="1">
      <alignment vertical="center" wrapText="1"/>
    </xf>
    <xf numFmtId="0" fontId="69" fillId="0" borderId="0" xfId="0" applyFont="1" applyFill="1" applyAlignment="1">
      <alignment horizontal="center" vertical="center" wrapText="1"/>
    </xf>
    <xf numFmtId="0" fontId="67" fillId="0" borderId="0" xfId="0" applyFont="1" applyFill="1" applyAlignment="1">
      <alignment horizontal="center" vertical="center" wrapText="1"/>
    </xf>
    <xf numFmtId="0" fontId="67" fillId="0" borderId="11" xfId="0" applyFont="1" applyFill="1" applyBorder="1" applyAlignment="1">
      <alignment vertical="center" wrapText="1"/>
    </xf>
    <xf numFmtId="0" fontId="67" fillId="0" borderId="12" xfId="0" applyFont="1" applyFill="1" applyBorder="1" applyAlignment="1">
      <alignment horizontal="center" vertical="center" wrapText="1"/>
    </xf>
    <xf numFmtId="4" fontId="67" fillId="0" borderId="12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vertical="center" wrapText="1"/>
    </xf>
    <xf numFmtId="0" fontId="67" fillId="0" borderId="0" xfId="0" applyFont="1" applyAlignment="1">
      <alignment horizontal="right" vertical="center" wrapText="1"/>
    </xf>
    <xf numFmtId="0" fontId="67" fillId="0" borderId="0" xfId="0" applyFont="1" applyAlignment="1">
      <alignment horizontal="left" vertical="center" wrapText="1"/>
    </xf>
    <xf numFmtId="0" fontId="67" fillId="0" borderId="0" xfId="0" applyFont="1" applyAlignment="1">
      <alignment vertical="center" wrapText="1"/>
    </xf>
    <xf numFmtId="0" fontId="67" fillId="0" borderId="13" xfId="0" applyFont="1" applyBorder="1" applyAlignment="1">
      <alignment horizontal="right" vertical="center" wrapText="1"/>
    </xf>
    <xf numFmtId="0" fontId="67" fillId="0" borderId="15" xfId="0" applyFont="1" applyBorder="1" applyAlignment="1">
      <alignment horizontal="left" vertical="center" wrapText="1"/>
    </xf>
    <xf numFmtId="0" fontId="67" fillId="0" borderId="15" xfId="0" applyFont="1" applyFill="1" applyBorder="1" applyAlignment="1">
      <alignment horizontal="left" vertical="center" wrapText="1"/>
    </xf>
    <xf numFmtId="0" fontId="67" fillId="0" borderId="11" xfId="0" applyFont="1" applyBorder="1" applyAlignment="1">
      <alignment vertical="center" wrapText="1"/>
    </xf>
    <xf numFmtId="4" fontId="67" fillId="0" borderId="19" xfId="0" applyNumberFormat="1" applyFont="1" applyBorder="1" applyAlignment="1">
      <alignment horizontal="center" vertical="center" wrapText="1"/>
    </xf>
    <xf numFmtId="4" fontId="67" fillId="0" borderId="11" xfId="0" applyNumberFormat="1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center" wrapText="1"/>
    </xf>
    <xf numFmtId="0" fontId="69" fillId="33" borderId="0" xfId="0" applyFont="1" applyFill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2" fontId="76" fillId="33" borderId="0" xfId="0" applyNumberFormat="1" applyFont="1" applyFill="1" applyAlignment="1">
      <alignment/>
    </xf>
    <xf numFmtId="173" fontId="0" fillId="33" borderId="0" xfId="0" applyNumberFormat="1" applyFill="1" applyAlignment="1">
      <alignment/>
    </xf>
    <xf numFmtId="169" fontId="76" fillId="33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67" fillId="0" borderId="0" xfId="0" applyFont="1" applyFill="1" applyAlignment="1">
      <alignment horizontal="justify" vertical="center"/>
    </xf>
    <xf numFmtId="0" fontId="67" fillId="0" borderId="10" xfId="0" applyFont="1" applyFill="1" applyBorder="1" applyAlignment="1">
      <alignment horizontal="center" vertical="center" wrapText="1"/>
    </xf>
    <xf numFmtId="0" fontId="67" fillId="0" borderId="18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left" vertical="center" wrapText="1"/>
    </xf>
    <xf numFmtId="167" fontId="67" fillId="0" borderId="12" xfId="60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right" vertical="center" wrapText="1"/>
    </xf>
    <xf numFmtId="0" fontId="73" fillId="0" borderId="12" xfId="0" applyFont="1" applyFill="1" applyBorder="1" applyAlignment="1">
      <alignment horizontal="center" vertical="center" wrapText="1"/>
    </xf>
    <xf numFmtId="167" fontId="73" fillId="0" borderId="12" xfId="60" applyFont="1" applyFill="1" applyBorder="1" applyAlignment="1">
      <alignment horizontal="center" vertical="center" wrapText="1"/>
    </xf>
    <xf numFmtId="43" fontId="0" fillId="0" borderId="0" xfId="0" applyNumberFormat="1" applyFill="1" applyAlignment="1">
      <alignment/>
    </xf>
    <xf numFmtId="0" fontId="67" fillId="33" borderId="19" xfId="0" applyFont="1" applyFill="1" applyBorder="1" applyAlignment="1">
      <alignment vertical="center" wrapText="1"/>
    </xf>
    <xf numFmtId="2" fontId="67" fillId="33" borderId="11" xfId="0" applyNumberFormat="1" applyFont="1" applyFill="1" applyBorder="1" applyAlignment="1">
      <alignment horizontal="center" vertical="center" wrapText="1"/>
    </xf>
    <xf numFmtId="2" fontId="73" fillId="33" borderId="11" xfId="0" applyNumberFormat="1" applyFont="1" applyFill="1" applyBorder="1" applyAlignment="1">
      <alignment horizontal="center" vertical="center" wrapText="1"/>
    </xf>
    <xf numFmtId="4" fontId="73" fillId="0" borderId="15" xfId="0" applyNumberFormat="1" applyFont="1" applyBorder="1" applyAlignment="1">
      <alignment horizontal="center" vertical="center" wrapText="1"/>
    </xf>
    <xf numFmtId="0" fontId="67" fillId="0" borderId="20" xfId="0" applyFont="1" applyFill="1" applyBorder="1" applyAlignment="1">
      <alignment horizontal="center" vertical="center" wrapText="1"/>
    </xf>
    <xf numFmtId="2" fontId="67" fillId="0" borderId="12" xfId="0" applyNumberFormat="1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vertical="center" wrapText="1"/>
    </xf>
    <xf numFmtId="49" fontId="67" fillId="33" borderId="12" xfId="0" applyNumberFormat="1" applyFont="1" applyFill="1" applyBorder="1" applyAlignment="1">
      <alignment vertical="center" wrapText="1"/>
    </xf>
    <xf numFmtId="0" fontId="69" fillId="33" borderId="0" xfId="0" applyFont="1" applyFill="1" applyAlignment="1">
      <alignment horizontal="left" vertical="center" wrapText="1"/>
    </xf>
    <xf numFmtId="0" fontId="69" fillId="33" borderId="0" xfId="0" applyFont="1" applyFill="1" applyAlignment="1">
      <alignment horizontal="center" vertical="center" wrapText="1"/>
    </xf>
    <xf numFmtId="167" fontId="67" fillId="33" borderId="11" xfId="60" applyFont="1" applyFill="1" applyBorder="1" applyAlignment="1">
      <alignment horizontal="center" vertical="center" wrapText="1"/>
    </xf>
    <xf numFmtId="167" fontId="73" fillId="33" borderId="11" xfId="60" applyFont="1" applyFill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70" fillId="33" borderId="18" xfId="0" applyFont="1" applyFill="1" applyBorder="1" applyAlignment="1">
      <alignment horizontal="center" vertical="center" wrapText="1"/>
    </xf>
    <xf numFmtId="0" fontId="71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67" fillId="0" borderId="11" xfId="0" applyFont="1" applyFill="1" applyBorder="1" applyAlignment="1">
      <alignment horizontal="left" vertical="center" wrapText="1" indent="2"/>
    </xf>
    <xf numFmtId="49" fontId="67" fillId="0" borderId="12" xfId="0" applyNumberFormat="1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left" vertical="center" wrapText="1"/>
    </xf>
    <xf numFmtId="4" fontId="73" fillId="0" borderId="12" xfId="0" applyNumberFormat="1" applyFont="1" applyFill="1" applyBorder="1" applyAlignment="1">
      <alignment horizontal="center" vertical="center" wrapText="1"/>
    </xf>
    <xf numFmtId="0" fontId="73" fillId="0" borderId="14" xfId="0" applyFont="1" applyFill="1" applyBorder="1" applyAlignment="1">
      <alignment horizontal="left" vertical="center" wrapText="1"/>
    </xf>
    <xf numFmtId="0" fontId="73" fillId="0" borderId="11" xfId="0" applyFont="1" applyFill="1" applyBorder="1" applyAlignment="1">
      <alignment horizontal="left" vertical="center" wrapText="1"/>
    </xf>
    <xf numFmtId="4" fontId="69" fillId="0" borderId="0" xfId="0" applyNumberFormat="1" applyFont="1" applyFill="1" applyAlignment="1">
      <alignment horizontal="center" vertical="center" wrapText="1"/>
    </xf>
    <xf numFmtId="0" fontId="67" fillId="0" borderId="14" xfId="0" applyFont="1" applyFill="1" applyBorder="1" applyAlignment="1">
      <alignment horizontal="left" vertical="center" wrapText="1" indent="1"/>
    </xf>
    <xf numFmtId="0" fontId="67" fillId="0" borderId="11" xfId="0" applyFont="1" applyFill="1" applyBorder="1" applyAlignment="1">
      <alignment horizontal="left" vertical="center" wrapText="1" indent="1"/>
    </xf>
    <xf numFmtId="0" fontId="73" fillId="0" borderId="11" xfId="0" applyFont="1" applyFill="1" applyBorder="1" applyAlignment="1">
      <alignment vertical="center" wrapText="1"/>
    </xf>
    <xf numFmtId="49" fontId="73" fillId="0" borderId="12" xfId="0" applyNumberFormat="1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vertical="center" wrapText="1"/>
    </xf>
    <xf numFmtId="0" fontId="72" fillId="0" borderId="0" xfId="0" applyFont="1" applyFill="1" applyAlignment="1">
      <alignment horizontal="center" vertical="center" wrapText="1"/>
    </xf>
    <xf numFmtId="4" fontId="72" fillId="0" borderId="0" xfId="0" applyNumberFormat="1" applyFont="1" applyFill="1" applyAlignment="1">
      <alignment horizontal="center" vertical="center" wrapText="1"/>
    </xf>
    <xf numFmtId="0" fontId="67" fillId="0" borderId="14" xfId="0" applyFont="1" applyFill="1" applyBorder="1" applyAlignment="1">
      <alignment horizontal="left" vertical="center" wrapText="1" indent="2"/>
    </xf>
    <xf numFmtId="0" fontId="77" fillId="0" borderId="0" xfId="0" applyFont="1" applyFill="1" applyAlignment="1">
      <alignment horizontal="center" vertical="center" wrapText="1"/>
    </xf>
    <xf numFmtId="4" fontId="77" fillId="0" borderId="0" xfId="0" applyNumberFormat="1" applyFont="1" applyFill="1" applyAlignment="1">
      <alignment horizontal="center" vertical="center" wrapText="1"/>
    </xf>
    <xf numFmtId="0" fontId="70" fillId="0" borderId="18" xfId="0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justify" vertical="center" wrapText="1"/>
    </xf>
    <xf numFmtId="0" fontId="67" fillId="0" borderId="12" xfId="0" applyFont="1" applyFill="1" applyBorder="1" applyAlignment="1">
      <alignment horizontal="justify" vertical="center" wrapText="1"/>
    </xf>
    <xf numFmtId="0" fontId="67" fillId="0" borderId="12" xfId="0" applyFont="1" applyFill="1" applyBorder="1" applyAlignment="1">
      <alignment horizontal="left" vertical="center" wrapText="1" indent="4"/>
    </xf>
    <xf numFmtId="0" fontId="67" fillId="0" borderId="0" xfId="0" applyFont="1" applyFill="1" applyAlignment="1">
      <alignment horizontal="center" vertical="center"/>
    </xf>
    <xf numFmtId="167" fontId="67" fillId="0" borderId="12" xfId="6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67" fillId="0" borderId="0" xfId="0" applyFont="1" applyFill="1" applyAlignment="1">
      <alignment vertical="center"/>
    </xf>
    <xf numFmtId="0" fontId="73" fillId="0" borderId="10" xfId="0" applyFont="1" applyFill="1" applyBorder="1" applyAlignment="1">
      <alignment horizontal="right" vertical="center" wrapText="1"/>
    </xf>
    <xf numFmtId="167" fontId="67" fillId="0" borderId="12" xfId="0" applyNumberFormat="1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right" vertical="center" wrapText="1"/>
    </xf>
    <xf numFmtId="0" fontId="73" fillId="0" borderId="12" xfId="0" applyFont="1" applyFill="1" applyBorder="1" applyAlignment="1">
      <alignment horizontal="left" vertical="center" wrapText="1"/>
    </xf>
    <xf numFmtId="0" fontId="67" fillId="0" borderId="19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left" vertical="center" wrapText="1"/>
    </xf>
    <xf numFmtId="49" fontId="67" fillId="0" borderId="19" xfId="0" applyNumberFormat="1" applyFont="1" applyFill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49" fontId="67" fillId="0" borderId="19" xfId="0" applyNumberFormat="1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/>
    </xf>
    <xf numFmtId="0" fontId="73" fillId="33" borderId="11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33" borderId="18" xfId="0" applyFont="1" applyFill="1" applyBorder="1" applyAlignment="1">
      <alignment horizontal="center" vertical="center" wrapText="1"/>
    </xf>
    <xf numFmtId="0" fontId="67" fillId="33" borderId="0" xfId="0" applyFont="1" applyFill="1" applyAlignment="1">
      <alignment horizontal="center" vertical="center"/>
    </xf>
    <xf numFmtId="0" fontId="67" fillId="33" borderId="0" xfId="0" applyFont="1" applyFill="1" applyAlignment="1">
      <alignment horizontal="left" vertical="center"/>
    </xf>
    <xf numFmtId="0" fontId="49" fillId="0" borderId="0" xfId="0" applyFont="1" applyFill="1" applyAlignment="1">
      <alignment/>
    </xf>
    <xf numFmtId="167" fontId="0" fillId="0" borderId="0" xfId="0" applyNumberFormat="1" applyFill="1" applyAlignment="1">
      <alignment/>
    </xf>
    <xf numFmtId="167" fontId="39" fillId="0" borderId="0" xfId="0" applyNumberFormat="1" applyFont="1" applyFill="1" applyAlignment="1">
      <alignment/>
    </xf>
    <xf numFmtId="167" fontId="73" fillId="0" borderId="12" xfId="0" applyNumberFormat="1" applyFont="1" applyFill="1" applyBorder="1" applyAlignment="1">
      <alignment horizontal="center" vertical="center" wrapText="1"/>
    </xf>
    <xf numFmtId="4" fontId="73" fillId="0" borderId="12" xfId="0" applyNumberFormat="1" applyFont="1" applyFill="1" applyBorder="1" applyAlignment="1">
      <alignment vertical="center" wrapText="1"/>
    </xf>
    <xf numFmtId="4" fontId="75" fillId="0" borderId="0" xfId="0" applyNumberFormat="1" applyFont="1" applyFill="1" applyAlignment="1">
      <alignment horizontal="center" vertical="center" wrapText="1"/>
    </xf>
    <xf numFmtId="0" fontId="75" fillId="0" borderId="0" xfId="0" applyFont="1" applyFill="1" applyAlignment="1">
      <alignment horizontal="center" vertical="center" wrapText="1"/>
    </xf>
    <xf numFmtId="0" fontId="78" fillId="15" borderId="12" xfId="0" applyFont="1" applyFill="1" applyBorder="1" applyAlignment="1">
      <alignment horizontal="center" vertical="center" wrapText="1"/>
    </xf>
    <xf numFmtId="0" fontId="78" fillId="15" borderId="12" xfId="0" applyFont="1" applyFill="1" applyBorder="1" applyAlignment="1">
      <alignment vertical="center" wrapText="1"/>
    </xf>
    <xf numFmtId="4" fontId="78" fillId="15" borderId="12" xfId="0" applyNumberFormat="1" applyFont="1" applyFill="1" applyBorder="1" applyAlignment="1">
      <alignment horizontal="center" vertical="center" wrapText="1"/>
    </xf>
    <xf numFmtId="0" fontId="78" fillId="15" borderId="11" xfId="0" applyFont="1" applyFill="1" applyBorder="1" applyAlignment="1">
      <alignment vertical="center" wrapText="1"/>
    </xf>
    <xf numFmtId="0" fontId="69" fillId="33" borderId="0" xfId="0" applyFont="1" applyFill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67" fillId="0" borderId="0" xfId="0" applyFont="1" applyFill="1" applyAlignment="1">
      <alignment horizontal="right" vertical="center"/>
    </xf>
    <xf numFmtId="0" fontId="71" fillId="0" borderId="0" xfId="0" applyFont="1" applyFill="1" applyAlignment="1">
      <alignment horizontal="right" vertical="center"/>
    </xf>
    <xf numFmtId="0" fontId="57" fillId="0" borderId="0" xfId="0" applyFont="1" applyFill="1" applyAlignment="1">
      <alignment/>
    </xf>
    <xf numFmtId="10" fontId="67" fillId="0" borderId="12" xfId="0" applyNumberFormat="1" applyFont="1" applyFill="1" applyBorder="1" applyAlignment="1">
      <alignment horizontal="center" vertical="center" wrapText="1"/>
    </xf>
    <xf numFmtId="0" fontId="67" fillId="0" borderId="21" xfId="0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vertical="center" wrapText="1"/>
    </xf>
    <xf numFmtId="0" fontId="73" fillId="0" borderId="12" xfId="0" applyFont="1" applyFill="1" applyBorder="1" applyAlignment="1">
      <alignment horizontal="justify" vertical="center" wrapText="1"/>
    </xf>
    <xf numFmtId="2" fontId="73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67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4" fontId="67" fillId="0" borderId="0" xfId="0" applyNumberFormat="1" applyFont="1" applyFill="1" applyBorder="1" applyAlignment="1">
      <alignment horizontal="center" vertical="center" wrapText="1"/>
    </xf>
    <xf numFmtId="178" fontId="67" fillId="0" borderId="0" xfId="0" applyNumberFormat="1" applyFont="1" applyFill="1" applyBorder="1" applyAlignment="1">
      <alignment horizontal="center" vertical="center" wrapText="1"/>
    </xf>
    <xf numFmtId="177" fontId="67" fillId="0" borderId="0" xfId="0" applyNumberFormat="1" applyFont="1" applyFill="1" applyBorder="1" applyAlignment="1">
      <alignment horizontal="center" vertical="center" wrapText="1"/>
    </xf>
    <xf numFmtId="4" fontId="73" fillId="0" borderId="0" xfId="0" applyNumberFormat="1" applyFont="1" applyFill="1" applyBorder="1" applyAlignment="1">
      <alignment vertical="center" wrapText="1"/>
    </xf>
    <xf numFmtId="168" fontId="0" fillId="0" borderId="0" xfId="0" applyNumberFormat="1" applyFont="1" applyFill="1" applyAlignment="1">
      <alignment/>
    </xf>
    <xf numFmtId="43" fontId="0" fillId="0" borderId="0" xfId="0" applyNumberFormat="1" applyFont="1" applyFill="1" applyAlignment="1">
      <alignment horizontal="left"/>
    </xf>
    <xf numFmtId="43" fontId="0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/>
    </xf>
    <xf numFmtId="0" fontId="67" fillId="0" borderId="10" xfId="0" applyFont="1" applyFill="1" applyBorder="1" applyAlignment="1">
      <alignment horizontal="left" vertical="center" wrapText="1"/>
    </xf>
    <xf numFmtId="167" fontId="69" fillId="0" borderId="0" xfId="0" applyNumberFormat="1" applyFont="1" applyFill="1" applyAlignment="1">
      <alignment vertical="center" wrapText="1"/>
    </xf>
    <xf numFmtId="167" fontId="0" fillId="33" borderId="0" xfId="0" applyNumberFormat="1" applyFill="1" applyAlignment="1">
      <alignment/>
    </xf>
    <xf numFmtId="177" fontId="0" fillId="0" borderId="0" xfId="0" applyNumberFormat="1" applyFont="1" applyFill="1" applyAlignment="1">
      <alignment/>
    </xf>
    <xf numFmtId="183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4" fontId="57" fillId="0" borderId="0" xfId="0" applyNumberFormat="1" applyFont="1" applyFill="1" applyAlignment="1">
      <alignment/>
    </xf>
    <xf numFmtId="0" fontId="71" fillId="0" borderId="0" xfId="0" applyFont="1" applyFill="1" applyAlignment="1">
      <alignment vertical="center"/>
    </xf>
    <xf numFmtId="0" fontId="73" fillId="0" borderId="0" xfId="0" applyFont="1" applyFill="1" applyAlignment="1">
      <alignment vertical="center"/>
    </xf>
    <xf numFmtId="168" fontId="0" fillId="0" borderId="0" xfId="0" applyNumberFormat="1" applyFill="1" applyAlignment="1">
      <alignment/>
    </xf>
    <xf numFmtId="2" fontId="76" fillId="0" borderId="0" xfId="0" applyNumberFormat="1" applyFont="1" applyFill="1" applyAlignment="1">
      <alignment/>
    </xf>
    <xf numFmtId="173" fontId="0" fillId="0" borderId="0" xfId="0" applyNumberFormat="1" applyFill="1" applyAlignment="1">
      <alignment/>
    </xf>
    <xf numFmtId="169" fontId="76" fillId="0" borderId="0" xfId="0" applyNumberFormat="1" applyFont="1" applyFill="1" applyAlignment="1">
      <alignment/>
    </xf>
    <xf numFmtId="1" fontId="67" fillId="0" borderId="12" xfId="0" applyNumberFormat="1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vertical="center" wrapText="1"/>
    </xf>
    <xf numFmtId="167" fontId="67" fillId="0" borderId="11" xfId="60" applyFont="1" applyFill="1" applyBorder="1" applyAlignment="1">
      <alignment horizontal="center" vertical="center" wrapText="1"/>
    </xf>
    <xf numFmtId="171" fontId="67" fillId="0" borderId="12" xfId="60" applyNumberFormat="1" applyFont="1" applyFill="1" applyBorder="1" applyAlignment="1">
      <alignment vertical="center" wrapText="1"/>
    </xf>
    <xf numFmtId="2" fontId="67" fillId="0" borderId="11" xfId="0" applyNumberFormat="1" applyFont="1" applyFill="1" applyBorder="1" applyAlignment="1">
      <alignment horizontal="center" vertical="center" wrapText="1"/>
    </xf>
    <xf numFmtId="2" fontId="73" fillId="0" borderId="11" xfId="0" applyNumberFormat="1" applyFont="1" applyFill="1" applyBorder="1" applyAlignment="1">
      <alignment horizontal="center" vertical="center" wrapText="1"/>
    </xf>
    <xf numFmtId="167" fontId="73" fillId="0" borderId="11" xfId="60" applyFont="1" applyFill="1" applyBorder="1" applyAlignment="1">
      <alignment horizontal="center" vertical="center" wrapText="1"/>
    </xf>
    <xf numFmtId="185" fontId="0" fillId="0" borderId="0" xfId="0" applyNumberFormat="1" applyFill="1" applyAlignment="1">
      <alignment/>
    </xf>
    <xf numFmtId="0" fontId="67" fillId="0" borderId="11" xfId="0" applyFont="1" applyBorder="1" applyAlignment="1">
      <alignment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49" fontId="67" fillId="0" borderId="10" xfId="0" applyNumberFormat="1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left" vertical="center" wrapText="1" indent="2"/>
    </xf>
    <xf numFmtId="0" fontId="67" fillId="0" borderId="11" xfId="0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 wrapText="1"/>
    </xf>
    <xf numFmtId="0" fontId="73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7" fillId="0" borderId="18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left" vertical="center"/>
    </xf>
    <xf numFmtId="0" fontId="39" fillId="0" borderId="0" xfId="0" applyFont="1" applyFill="1" applyAlignment="1">
      <alignment/>
    </xf>
    <xf numFmtId="4" fontId="39" fillId="0" borderId="0" xfId="0" applyNumberFormat="1" applyFont="1" applyFill="1" applyAlignment="1">
      <alignment/>
    </xf>
    <xf numFmtId="0" fontId="79" fillId="0" borderId="0" xfId="0" applyFont="1" applyFill="1" applyAlignment="1">
      <alignment/>
    </xf>
    <xf numFmtId="4" fontId="79" fillId="0" borderId="0" xfId="0" applyNumberFormat="1" applyFont="1" applyFill="1" applyAlignment="1">
      <alignment/>
    </xf>
    <xf numFmtId="168" fontId="79" fillId="0" borderId="0" xfId="0" applyNumberFormat="1" applyFont="1" applyFill="1" applyAlignment="1">
      <alignment/>
    </xf>
    <xf numFmtId="174" fontId="79" fillId="0" borderId="0" xfId="0" applyNumberFormat="1" applyFont="1" applyFill="1" applyAlignment="1">
      <alignment/>
    </xf>
    <xf numFmtId="178" fontId="0" fillId="0" borderId="0" xfId="0" applyNumberFormat="1" applyFill="1" applyAlignment="1">
      <alignment/>
    </xf>
    <xf numFmtId="178" fontId="79" fillId="0" borderId="0" xfId="0" applyNumberFormat="1" applyFont="1" applyFill="1" applyAlignment="1">
      <alignment/>
    </xf>
    <xf numFmtId="43" fontId="0" fillId="0" borderId="0" xfId="0" applyNumberFormat="1" applyFill="1" applyAlignment="1">
      <alignment horizontal="left"/>
    </xf>
    <xf numFmtId="0" fontId="73" fillId="0" borderId="11" xfId="0" applyFont="1" applyFill="1" applyBorder="1" applyAlignment="1">
      <alignment horizontal="center" vertical="center" wrapText="1"/>
    </xf>
    <xf numFmtId="49" fontId="67" fillId="0" borderId="19" xfId="0" applyNumberFormat="1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73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left" vertical="center"/>
    </xf>
    <xf numFmtId="0" fontId="67" fillId="0" borderId="18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center" vertical="center"/>
    </xf>
    <xf numFmtId="167" fontId="0" fillId="0" borderId="0" xfId="0" applyNumberFormat="1" applyFont="1" applyFill="1" applyAlignment="1">
      <alignment/>
    </xf>
    <xf numFmtId="4" fontId="73" fillId="0" borderId="18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70" fontId="67" fillId="0" borderId="12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172" fontId="0" fillId="0" borderId="0" xfId="0" applyNumberFormat="1" applyFont="1" applyFill="1" applyAlignment="1">
      <alignment/>
    </xf>
    <xf numFmtId="175" fontId="7" fillId="0" borderId="0" xfId="0" applyNumberFormat="1" applyFont="1" applyFill="1" applyAlignment="1">
      <alignment horizontal="center" vertical="center" wrapText="1"/>
    </xf>
    <xf numFmtId="179" fontId="0" fillId="0" borderId="0" xfId="0" applyNumberFormat="1" applyFont="1" applyFill="1" applyAlignment="1">
      <alignment/>
    </xf>
    <xf numFmtId="175" fontId="69" fillId="0" borderId="0" xfId="0" applyNumberFormat="1" applyFont="1" applyFill="1" applyAlignment="1">
      <alignment horizontal="center" vertical="center" wrapText="1"/>
    </xf>
    <xf numFmtId="176" fontId="69" fillId="0" borderId="0" xfId="0" applyNumberFormat="1" applyFont="1" applyFill="1" applyAlignment="1">
      <alignment horizontal="center" vertical="center" wrapText="1"/>
    </xf>
    <xf numFmtId="178" fontId="69" fillId="0" borderId="0" xfId="0" applyNumberFormat="1" applyFont="1" applyFill="1" applyAlignment="1">
      <alignment horizontal="center" vertical="center" wrapText="1"/>
    </xf>
    <xf numFmtId="4" fontId="67" fillId="0" borderId="12" xfId="60" applyNumberFormat="1" applyFont="1" applyFill="1" applyBorder="1" applyAlignment="1">
      <alignment horizontal="center" vertical="top" wrapText="1"/>
    </xf>
    <xf numFmtId="4" fontId="67" fillId="0" borderId="12" xfId="60" applyNumberFormat="1" applyFont="1" applyFill="1" applyBorder="1" applyAlignment="1">
      <alignment horizontal="center" vertical="center" wrapText="1"/>
    </xf>
    <xf numFmtId="0" fontId="73" fillId="36" borderId="11" xfId="0" applyFont="1" applyFill="1" applyBorder="1" applyAlignment="1">
      <alignment horizontal="left" vertical="center" wrapText="1"/>
    </xf>
    <xf numFmtId="49" fontId="73" fillId="36" borderId="12" xfId="0" applyNumberFormat="1" applyFont="1" applyFill="1" applyBorder="1" applyAlignment="1">
      <alignment horizontal="center" vertical="center" wrapText="1"/>
    </xf>
    <xf numFmtId="0" fontId="73" fillId="36" borderId="12" xfId="0" applyFont="1" applyFill="1" applyBorder="1" applyAlignment="1">
      <alignment horizontal="center" vertical="center" wrapText="1"/>
    </xf>
    <xf numFmtId="4" fontId="73" fillId="36" borderId="12" xfId="0" applyNumberFormat="1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73" fillId="0" borderId="0" xfId="0" applyFont="1" applyFill="1" applyAlignment="1">
      <alignment horizontal="center" vertical="center" wrapText="1"/>
    </xf>
    <xf numFmtId="0" fontId="73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left" vertical="center"/>
    </xf>
    <xf numFmtId="0" fontId="67" fillId="0" borderId="18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center" vertical="center"/>
    </xf>
    <xf numFmtId="186" fontId="0" fillId="0" borderId="0" xfId="0" applyNumberFormat="1" applyFont="1" applyFill="1" applyAlignment="1">
      <alignment/>
    </xf>
    <xf numFmtId="0" fontId="73" fillId="0" borderId="0" xfId="0" applyFont="1" applyFill="1" applyBorder="1" applyAlignment="1">
      <alignment horizontal="right" vertical="center" wrapText="1"/>
    </xf>
    <xf numFmtId="0" fontId="73" fillId="0" borderId="0" xfId="0" applyFont="1" applyFill="1" applyBorder="1" applyAlignment="1">
      <alignment vertical="center" wrapText="1"/>
    </xf>
    <xf numFmtId="0" fontId="73" fillId="0" borderId="0" xfId="0" applyFont="1" applyFill="1" applyBorder="1" applyAlignment="1">
      <alignment horizontal="justify" vertical="center" wrapText="1"/>
    </xf>
    <xf numFmtId="170" fontId="73" fillId="0" borderId="0" xfId="0" applyNumberFormat="1" applyFont="1" applyFill="1" applyBorder="1" applyAlignment="1">
      <alignment vertical="center" wrapText="1"/>
    </xf>
    <xf numFmtId="0" fontId="67" fillId="0" borderId="11" xfId="0" applyFont="1" applyFill="1" applyBorder="1" applyAlignment="1">
      <alignment horizontal="center" vertical="center" wrapText="1"/>
    </xf>
    <xf numFmtId="182" fontId="0" fillId="0" borderId="0" xfId="0" applyNumberFormat="1" applyFont="1" applyFill="1" applyAlignment="1">
      <alignment/>
    </xf>
    <xf numFmtId="184" fontId="0" fillId="0" borderId="0" xfId="0" applyNumberFormat="1" applyFont="1" applyFill="1" applyAlignment="1">
      <alignment/>
    </xf>
    <xf numFmtId="187" fontId="0" fillId="0" borderId="0" xfId="0" applyNumberFormat="1" applyFill="1" applyAlignment="1">
      <alignment/>
    </xf>
    <xf numFmtId="43" fontId="0" fillId="0" borderId="0" xfId="0" applyNumberFormat="1" applyAlignment="1">
      <alignment/>
    </xf>
    <xf numFmtId="188" fontId="0" fillId="0" borderId="0" xfId="0" applyNumberFormat="1" applyAlignment="1">
      <alignment/>
    </xf>
    <xf numFmtId="189" fontId="0" fillId="0" borderId="0" xfId="0" applyNumberFormat="1" applyAlignment="1">
      <alignment/>
    </xf>
    <xf numFmtId="0" fontId="67" fillId="0" borderId="14" xfId="0" applyFont="1" applyBorder="1" applyAlignment="1">
      <alignment vertical="center" wrapText="1"/>
    </xf>
    <xf numFmtId="4" fontId="67" fillId="0" borderId="13" xfId="0" applyNumberFormat="1" applyFont="1" applyBorder="1" applyAlignment="1">
      <alignment horizontal="center" vertical="center" wrapText="1"/>
    </xf>
    <xf numFmtId="0" fontId="67" fillId="0" borderId="0" xfId="0" applyFont="1" applyAlignment="1">
      <alignment horizontal="right" vertical="center" wrapText="1"/>
    </xf>
    <xf numFmtId="0" fontId="67" fillId="0" borderId="0" xfId="0" applyFont="1" applyAlignment="1">
      <alignment horizontal="left" vertical="center" wrapText="1"/>
    </xf>
    <xf numFmtId="0" fontId="80" fillId="0" borderId="0" xfId="0" applyFont="1" applyAlignment="1">
      <alignment horizontal="right" vertical="center" wrapText="1"/>
    </xf>
    <xf numFmtId="0" fontId="73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right" vertical="center" wrapText="1"/>
    </xf>
    <xf numFmtId="0" fontId="81" fillId="33" borderId="0" xfId="0" applyFont="1" applyFill="1" applyBorder="1" applyAlignment="1">
      <alignment horizontal="right" wrapText="1"/>
    </xf>
    <xf numFmtId="0" fontId="81" fillId="33" borderId="22" xfId="0" applyFont="1" applyFill="1" applyBorder="1" applyAlignment="1">
      <alignment horizontal="right" wrapText="1"/>
    </xf>
    <xf numFmtId="0" fontId="73" fillId="0" borderId="0" xfId="0" applyFont="1" applyAlignment="1">
      <alignment horizontal="right" vertical="center" wrapText="1"/>
    </xf>
    <xf numFmtId="0" fontId="69" fillId="0" borderId="23" xfId="0" applyFont="1" applyBorder="1" applyAlignment="1">
      <alignment horizontal="center" vertical="center" wrapText="1"/>
    </xf>
    <xf numFmtId="0" fontId="69" fillId="0" borderId="23" xfId="0" applyFont="1" applyBorder="1" applyAlignment="1">
      <alignment horizontal="right" wrapText="1"/>
    </xf>
    <xf numFmtId="0" fontId="67" fillId="0" borderId="0" xfId="0" applyFont="1" applyAlignment="1">
      <alignment vertical="center" wrapText="1"/>
    </xf>
    <xf numFmtId="0" fontId="67" fillId="0" borderId="13" xfId="0" applyFont="1" applyBorder="1" applyAlignment="1">
      <alignment horizontal="right" vertical="center" wrapText="1"/>
    </xf>
    <xf numFmtId="0" fontId="82" fillId="0" borderId="0" xfId="42" applyFont="1" applyBorder="1" applyAlignment="1">
      <alignment horizontal="right" vertical="center" wrapText="1"/>
    </xf>
    <xf numFmtId="0" fontId="82" fillId="0" borderId="13" xfId="42" applyFont="1" applyBorder="1" applyAlignment="1">
      <alignment horizontal="right" vertical="center" wrapText="1"/>
    </xf>
    <xf numFmtId="0" fontId="73" fillId="0" borderId="0" xfId="0" applyFont="1" applyAlignment="1">
      <alignment horizontal="center" vertical="center"/>
    </xf>
    <xf numFmtId="0" fontId="67" fillId="0" borderId="15" xfId="0" applyFont="1" applyBorder="1" applyAlignment="1">
      <alignment horizontal="left" vertical="center" wrapText="1"/>
    </xf>
    <xf numFmtId="0" fontId="67" fillId="0" borderId="15" xfId="0" applyFont="1" applyFill="1" applyBorder="1" applyAlignment="1">
      <alignment horizontal="left" vertical="center" wrapText="1"/>
    </xf>
    <xf numFmtId="0" fontId="73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/>
    </xf>
    <xf numFmtId="0" fontId="67" fillId="0" borderId="0" xfId="0" applyFont="1" applyAlignment="1">
      <alignment horizontal="center" vertical="top"/>
    </xf>
    <xf numFmtId="0" fontId="67" fillId="0" borderId="19" xfId="0" applyFont="1" applyBorder="1" applyAlignment="1">
      <alignment vertical="center" wrapText="1"/>
    </xf>
    <xf numFmtId="0" fontId="67" fillId="0" borderId="11" xfId="0" applyFont="1" applyBorder="1" applyAlignment="1">
      <alignment vertical="center" wrapText="1"/>
    </xf>
    <xf numFmtId="4" fontId="67" fillId="0" borderId="19" xfId="0" applyNumberFormat="1" applyFont="1" applyBorder="1" applyAlignment="1">
      <alignment horizontal="center" vertical="center" wrapText="1"/>
    </xf>
    <xf numFmtId="4" fontId="67" fillId="0" borderId="11" xfId="0" applyNumberFormat="1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53" fillId="0" borderId="17" xfId="42" applyBorder="1" applyAlignment="1">
      <alignment horizontal="center" vertical="center" wrapText="1"/>
    </xf>
    <xf numFmtId="0" fontId="53" fillId="0" borderId="24" xfId="42" applyBorder="1" applyAlignment="1">
      <alignment horizontal="center" vertical="center" wrapText="1"/>
    </xf>
    <xf numFmtId="0" fontId="53" fillId="0" borderId="18" xfId="42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67" fillId="0" borderId="25" xfId="0" applyFont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73" fillId="33" borderId="19" xfId="0" applyFont="1" applyFill="1" applyBorder="1" applyAlignment="1">
      <alignment horizontal="left" vertical="center" wrapText="1"/>
    </xf>
    <xf numFmtId="0" fontId="73" fillId="33" borderId="11" xfId="0" applyFont="1" applyFill="1" applyBorder="1" applyAlignment="1">
      <alignment horizontal="left" vertical="center" wrapText="1"/>
    </xf>
    <xf numFmtId="0" fontId="69" fillId="33" borderId="0" xfId="0" applyFont="1" applyFill="1" applyAlignment="1">
      <alignment horizontal="center" vertical="center" wrapText="1"/>
    </xf>
    <xf numFmtId="4" fontId="67" fillId="0" borderId="19" xfId="0" applyNumberFormat="1" applyFont="1" applyFill="1" applyBorder="1" applyAlignment="1">
      <alignment horizontal="center" vertical="center" wrapText="1"/>
    </xf>
    <xf numFmtId="4" fontId="67" fillId="0" borderId="11" xfId="0" applyNumberFormat="1" applyFont="1" applyFill="1" applyBorder="1" applyAlignment="1">
      <alignment horizontal="center" vertical="center" wrapText="1"/>
    </xf>
    <xf numFmtId="49" fontId="67" fillId="0" borderId="19" xfId="0" applyNumberFormat="1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170" fontId="67" fillId="0" borderId="19" xfId="0" applyNumberFormat="1" applyFont="1" applyFill="1" applyBorder="1" applyAlignment="1">
      <alignment horizontal="center" vertical="center" wrapText="1"/>
    </xf>
    <xf numFmtId="170" fontId="67" fillId="0" borderId="11" xfId="0" applyNumberFormat="1" applyFont="1" applyFill="1" applyBorder="1" applyAlignment="1">
      <alignment horizontal="center" vertical="center" wrapText="1"/>
    </xf>
    <xf numFmtId="49" fontId="73" fillId="0" borderId="19" xfId="0" applyNumberFormat="1" applyFont="1" applyFill="1" applyBorder="1" applyAlignment="1">
      <alignment horizontal="center" vertical="center" wrapText="1"/>
    </xf>
    <xf numFmtId="49" fontId="73" fillId="0" borderId="11" xfId="0" applyNumberFormat="1" applyFont="1" applyFill="1" applyBorder="1" applyAlignment="1">
      <alignment horizontal="center" vertical="center" wrapText="1"/>
    </xf>
    <xf numFmtId="0" fontId="73" fillId="0" borderId="19" xfId="0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 wrapText="1"/>
    </xf>
    <xf numFmtId="4" fontId="73" fillId="0" borderId="19" xfId="0" applyNumberFormat="1" applyFont="1" applyFill="1" applyBorder="1" applyAlignment="1">
      <alignment horizontal="center" vertical="center" wrapText="1"/>
    </xf>
    <xf numFmtId="4" fontId="73" fillId="0" borderId="11" xfId="0" applyNumberFormat="1" applyFont="1" applyFill="1" applyBorder="1" applyAlignment="1">
      <alignment horizontal="center" vertical="center" wrapText="1"/>
    </xf>
    <xf numFmtId="49" fontId="67" fillId="0" borderId="19" xfId="0" applyNumberFormat="1" applyFont="1" applyBorder="1" applyAlignment="1">
      <alignment horizontal="center" vertical="center" wrapText="1"/>
    </xf>
    <xf numFmtId="49" fontId="67" fillId="0" borderId="11" xfId="0" applyNumberFormat="1" applyFont="1" applyBorder="1" applyAlignment="1">
      <alignment horizontal="center" vertical="center" wrapText="1"/>
    </xf>
    <xf numFmtId="4" fontId="67" fillId="33" borderId="19" xfId="0" applyNumberFormat="1" applyFont="1" applyFill="1" applyBorder="1" applyAlignment="1">
      <alignment horizontal="center" vertical="center" wrapText="1"/>
    </xf>
    <xf numFmtId="4" fontId="67" fillId="33" borderId="11" xfId="0" applyNumberFormat="1" applyFont="1" applyFill="1" applyBorder="1" applyAlignment="1">
      <alignment horizontal="center" vertical="center" wrapText="1"/>
    </xf>
    <xf numFmtId="4" fontId="73" fillId="33" borderId="19" xfId="0" applyNumberFormat="1" applyFont="1" applyFill="1" applyBorder="1" applyAlignment="1">
      <alignment horizontal="center" vertical="center" wrapText="1"/>
    </xf>
    <xf numFmtId="4" fontId="73" fillId="33" borderId="11" xfId="0" applyNumberFormat="1" applyFont="1" applyFill="1" applyBorder="1" applyAlignment="1">
      <alignment horizontal="center" vertical="center" wrapText="1"/>
    </xf>
    <xf numFmtId="49" fontId="73" fillId="33" borderId="19" xfId="0" applyNumberFormat="1" applyFont="1" applyFill="1" applyBorder="1" applyAlignment="1">
      <alignment horizontal="center" vertical="center" wrapText="1"/>
    </xf>
    <xf numFmtId="49" fontId="73" fillId="33" borderId="11" xfId="0" applyNumberFormat="1" applyFont="1" applyFill="1" applyBorder="1" applyAlignment="1">
      <alignment horizontal="center" vertical="center" wrapText="1"/>
    </xf>
    <xf numFmtId="0" fontId="73" fillId="33" borderId="19" xfId="0" applyFont="1" applyFill="1" applyBorder="1" applyAlignment="1">
      <alignment horizontal="center" vertical="center" wrapText="1"/>
    </xf>
    <xf numFmtId="0" fontId="73" fillId="33" borderId="11" xfId="0" applyFont="1" applyFill="1" applyBorder="1" applyAlignment="1">
      <alignment horizontal="center" vertical="center" wrapText="1"/>
    </xf>
    <xf numFmtId="0" fontId="53" fillId="0" borderId="19" xfId="42" applyBorder="1" applyAlignment="1">
      <alignment horizontal="center" vertical="center" wrapText="1"/>
    </xf>
    <xf numFmtId="0" fontId="53" fillId="0" borderId="14" xfId="42" applyBorder="1" applyAlignment="1">
      <alignment horizontal="center" vertical="center" wrapText="1"/>
    </xf>
    <xf numFmtId="0" fontId="53" fillId="0" borderId="11" xfId="42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70" fillId="0" borderId="17" xfId="0" applyFont="1" applyBorder="1" applyAlignment="1">
      <alignment horizontal="center" vertical="center" wrapText="1"/>
    </xf>
    <xf numFmtId="0" fontId="70" fillId="0" borderId="24" xfId="0" applyFont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 wrapText="1"/>
    </xf>
    <xf numFmtId="0" fontId="84" fillId="0" borderId="19" xfId="42" applyFont="1" applyBorder="1" applyAlignment="1">
      <alignment horizontal="center" vertical="center" wrapText="1"/>
    </xf>
    <xf numFmtId="0" fontId="84" fillId="0" borderId="11" xfId="42" applyFont="1" applyBorder="1" applyAlignment="1">
      <alignment horizontal="center" vertical="center" wrapText="1"/>
    </xf>
    <xf numFmtId="0" fontId="73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7" fillId="0" borderId="14" xfId="0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 wrapText="1"/>
    </xf>
    <xf numFmtId="0" fontId="67" fillId="0" borderId="24" xfId="0" applyFont="1" applyFill="1" applyBorder="1" applyAlignment="1">
      <alignment horizontal="center" vertical="center" wrapText="1"/>
    </xf>
    <xf numFmtId="0" fontId="67" fillId="0" borderId="18" xfId="0" applyFont="1" applyFill="1" applyBorder="1" applyAlignment="1">
      <alignment horizontal="center" vertical="center" wrapText="1"/>
    </xf>
    <xf numFmtId="0" fontId="73" fillId="0" borderId="0" xfId="0" applyFont="1" applyFill="1" applyAlignment="1">
      <alignment horizontal="center" vertical="center" wrapText="1"/>
    </xf>
    <xf numFmtId="0" fontId="73" fillId="0" borderId="17" xfId="0" applyFont="1" applyFill="1" applyBorder="1" applyAlignment="1">
      <alignment horizontal="right" vertical="center" wrapText="1"/>
    </xf>
    <xf numFmtId="0" fontId="73" fillId="0" borderId="18" xfId="0" applyFont="1" applyFill="1" applyBorder="1" applyAlignment="1">
      <alignment horizontal="right" vertical="center" wrapText="1"/>
    </xf>
    <xf numFmtId="0" fontId="67" fillId="0" borderId="0" xfId="0" applyFont="1" applyFill="1" applyAlignment="1">
      <alignment horizontal="left" vertical="center"/>
    </xf>
    <xf numFmtId="0" fontId="69" fillId="0" borderId="26" xfId="0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left"/>
    </xf>
    <xf numFmtId="0" fontId="70" fillId="0" borderId="19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73" fillId="0" borderId="17" xfId="0" applyFont="1" applyBorder="1" applyAlignment="1">
      <alignment horizontal="right" vertical="center" wrapText="1"/>
    </xf>
    <xf numFmtId="0" fontId="73" fillId="0" borderId="18" xfId="0" applyFont="1" applyBorder="1" applyAlignment="1">
      <alignment horizontal="right" vertical="center" wrapText="1"/>
    </xf>
    <xf numFmtId="0" fontId="73" fillId="33" borderId="0" xfId="0" applyFont="1" applyFill="1" applyAlignment="1">
      <alignment horizontal="center" vertical="center" wrapText="1"/>
    </xf>
    <xf numFmtId="0" fontId="67" fillId="33" borderId="19" xfId="0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center" wrapText="1"/>
    </xf>
    <xf numFmtId="0" fontId="67" fillId="33" borderId="0" xfId="0" applyFont="1" applyFill="1" applyAlignment="1">
      <alignment horizontal="left" vertical="center"/>
    </xf>
    <xf numFmtId="0" fontId="73" fillId="33" borderId="0" xfId="0" applyFont="1" applyFill="1" applyAlignment="1">
      <alignment horizontal="center" vertical="center"/>
    </xf>
    <xf numFmtId="0" fontId="67" fillId="33" borderId="14" xfId="0" applyFont="1" applyFill="1" applyBorder="1" applyAlignment="1">
      <alignment horizontal="center" vertical="center" wrapText="1"/>
    </xf>
    <xf numFmtId="0" fontId="67" fillId="33" borderId="17" xfId="0" applyFont="1" applyFill="1" applyBorder="1" applyAlignment="1">
      <alignment horizontal="center" vertical="center" wrapText="1"/>
    </xf>
    <xf numFmtId="0" fontId="67" fillId="33" borderId="18" xfId="0" applyFont="1" applyFill="1" applyBorder="1" applyAlignment="1">
      <alignment horizontal="center" vertical="center" wrapText="1"/>
    </xf>
    <xf numFmtId="0" fontId="70" fillId="33" borderId="19" xfId="0" applyFont="1" applyFill="1" applyBorder="1" applyAlignment="1">
      <alignment horizontal="center" vertical="center" wrapText="1"/>
    </xf>
    <xf numFmtId="0" fontId="70" fillId="33" borderId="11" xfId="0" applyFont="1" applyFill="1" applyBorder="1" applyAlignment="1">
      <alignment horizontal="center" vertical="center" wrapText="1"/>
    </xf>
    <xf numFmtId="0" fontId="85" fillId="33" borderId="0" xfId="0" applyFont="1" applyFill="1" applyAlignment="1">
      <alignment horizontal="center" vertical="top" wrapText="1"/>
    </xf>
    <xf numFmtId="0" fontId="67" fillId="0" borderId="0" xfId="0" applyFont="1" applyFill="1" applyAlignment="1">
      <alignment horizontal="left" wrapText="1"/>
    </xf>
    <xf numFmtId="0" fontId="86" fillId="33" borderId="0" xfId="0" applyFont="1" applyFill="1" applyAlignment="1">
      <alignment horizontal="center" wrapText="1"/>
    </xf>
    <xf numFmtId="0" fontId="87" fillId="33" borderId="0" xfId="0" applyFont="1" applyFill="1" applyAlignment="1">
      <alignment horizontal="center" wrapText="1"/>
    </xf>
    <xf numFmtId="0" fontId="67" fillId="33" borderId="0" xfId="0" applyFont="1" applyFill="1" applyAlignment="1">
      <alignment horizontal="left" vertical="center" wrapText="1"/>
    </xf>
    <xf numFmtId="0" fontId="69" fillId="0" borderId="0" xfId="0" applyFont="1" applyAlignment="1">
      <alignment horizontal="center"/>
    </xf>
    <xf numFmtId="0" fontId="68" fillId="0" borderId="0" xfId="0" applyFont="1" applyAlignment="1">
      <alignment horizontal="right" vertical="center"/>
    </xf>
    <xf numFmtId="0" fontId="68" fillId="0" borderId="22" xfId="0" applyFont="1" applyBorder="1" applyAlignment="1">
      <alignment horizontal="center" vertical="center"/>
    </xf>
    <xf numFmtId="0" fontId="69" fillId="0" borderId="0" xfId="0" applyFont="1" applyAlignment="1">
      <alignment horizontal="right" wrapText="1"/>
    </xf>
    <xf numFmtId="0" fontId="69" fillId="0" borderId="16" xfId="0" applyFont="1" applyBorder="1" applyAlignment="1">
      <alignment horizontal="right" wrapText="1"/>
    </xf>
    <xf numFmtId="0" fontId="69" fillId="0" borderId="28" xfId="0" applyFont="1" applyBorder="1" applyAlignment="1">
      <alignment horizontal="center" vertical="center"/>
    </xf>
    <xf numFmtId="0" fontId="69" fillId="0" borderId="29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9" fillId="0" borderId="22" xfId="0" applyFont="1" applyBorder="1" applyAlignment="1">
      <alignment horizontal="center"/>
    </xf>
    <xf numFmtId="0" fontId="69" fillId="0" borderId="0" xfId="0" applyFont="1" applyAlignment="1">
      <alignment horizontal="right"/>
    </xf>
    <xf numFmtId="0" fontId="69" fillId="0" borderId="16" xfId="0" applyFont="1" applyBorder="1" applyAlignment="1">
      <alignment horizontal="right"/>
    </xf>
    <xf numFmtId="0" fontId="69" fillId="0" borderId="0" xfId="0" applyFont="1" applyAlignment="1">
      <alignment horizontal="left" wrapText="1"/>
    </xf>
    <xf numFmtId="0" fontId="67" fillId="0" borderId="22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9" fillId="0" borderId="16" xfId="0" applyFont="1" applyBorder="1" applyAlignment="1">
      <alignment horizontal="center"/>
    </xf>
    <xf numFmtId="0" fontId="69" fillId="0" borderId="0" xfId="0" applyFont="1" applyBorder="1" applyAlignment="1">
      <alignment horizontal="right"/>
    </xf>
    <xf numFmtId="0" fontId="69" fillId="0" borderId="15" xfId="0" applyFont="1" applyBorder="1" applyAlignment="1">
      <alignment horizontal="center"/>
    </xf>
    <xf numFmtId="0" fontId="67" fillId="0" borderId="0" xfId="0" applyFont="1" applyAlignment="1">
      <alignment horizontal="left" vertical="center"/>
    </xf>
    <xf numFmtId="0" fontId="69" fillId="0" borderId="0" xfId="0" applyFont="1" applyAlignment="1">
      <alignment horizontal="left"/>
    </xf>
    <xf numFmtId="0" fontId="69" fillId="0" borderId="0" xfId="0" applyFont="1" applyAlignment="1">
      <alignment horizontal="center" vertical="top"/>
    </xf>
    <xf numFmtId="0" fontId="69" fillId="0" borderId="0" xfId="0" applyFont="1" applyAlignment="1">
      <alignment horizontal="center" wrapText="1"/>
    </xf>
    <xf numFmtId="0" fontId="68" fillId="0" borderId="0" xfId="0" applyFont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1581150</xdr:colOff>
      <xdr:row>1</xdr:row>
      <xdr:rowOff>400050</xdr:rowOff>
    </xdr:from>
    <xdr:to>
      <xdr:col>7</xdr:col>
      <xdr:colOff>9525</xdr:colOff>
      <xdr:row>13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638175"/>
          <a:ext cx="6353175" cy="467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1285875</xdr:colOff>
      <xdr:row>16</xdr:row>
      <xdr:rowOff>28575</xdr:rowOff>
    </xdr:from>
    <xdr:to>
      <xdr:col>5</xdr:col>
      <xdr:colOff>495300</xdr:colOff>
      <xdr:row>23</xdr:row>
      <xdr:rowOff>485775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4476750"/>
          <a:ext cx="12372975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!&#1052;&#1059;&#1062;&#1041;\&#1060;&#1048;&#1053;&#1040;&#1053;&#1057;&#1054;&#1042;&#1054;%20-&#1069;&#1050;&#1054;&#1053;&#1054;&#1052;&#1048;&#1063;&#1045;&#1057;&#1050;&#1048;&#1049;%20&#1054;&#1058;&#1044;&#1045;&#1051;\&#1054;&#1041;&#1056;&#1040;&#1047;&#1054;&#1042;&#1040;&#1053;&#1048;&#1045;%20&#1048;%20&#1050;&#1059;&#1051;&#1068;&#1058;&#1059;&#1056;&#1040;%202016&#1075;\&#1055;&#1056;&#1054;&#1045;&#1050;&#1058;%20&#1041;&#1070;&#1044;&#1046;&#1045;&#1058;&#1040;%202019%20&#1087;&#1083;.&#1087;.%202019-2020\&#1050;&#1086;&#1084;.%20&#1091;&#1089;&#1083;.%20&#1087;&#1088;&#1086;&#1077;&#1082;&#1090;%20&#1087;&#1088;&#1080;&#1082;&#1072;&#1079;&#1072;%20&#1085;&#1072;%202019-2021%20&#1075;&#1086;&#1076;&#1072;%20&#1085;&#1072;%2001.01.2019(1)%20&#1079;&#1072;&#1084;&#1077;&#1085;&#1072;%20280,0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пло"/>
      <sheetName val="Тепло для ГВС"/>
      <sheetName val="ХВС для ГВС"/>
      <sheetName val="электро"/>
      <sheetName val="ХВС"/>
      <sheetName val="канал"/>
      <sheetName val="свод в разрезе"/>
    </sheetNames>
    <sheetDataSet>
      <sheetData sheetId="0">
        <row r="65">
          <cell r="B65">
            <v>577.85</v>
          </cell>
          <cell r="E65">
            <v>3745.2803</v>
          </cell>
          <cell r="F65">
            <v>577.85</v>
          </cell>
          <cell r="I65">
            <v>3895.09057</v>
          </cell>
          <cell r="J65">
            <v>577.85</v>
          </cell>
          <cell r="M65">
            <v>4050.89279</v>
          </cell>
        </row>
      </sheetData>
      <sheetData sheetId="1">
        <row r="65">
          <cell r="B65">
            <v>35.19</v>
          </cell>
          <cell r="E65">
            <v>229.77583</v>
          </cell>
          <cell r="F65">
            <v>35.19</v>
          </cell>
          <cell r="I65">
            <v>238.96678</v>
          </cell>
          <cell r="J65">
            <v>35.19</v>
          </cell>
          <cell r="M65">
            <v>248.52541</v>
          </cell>
        </row>
      </sheetData>
      <sheetData sheetId="2">
        <row r="65">
          <cell r="B65">
            <v>568.28</v>
          </cell>
          <cell r="E65">
            <v>29.36552</v>
          </cell>
          <cell r="F65">
            <v>568.28</v>
          </cell>
          <cell r="I65">
            <v>30.54095</v>
          </cell>
          <cell r="J65">
            <v>568.28</v>
          </cell>
          <cell r="M65">
            <v>31.76184</v>
          </cell>
        </row>
      </sheetData>
      <sheetData sheetId="3">
        <row r="65">
          <cell r="B65">
            <v>108.629</v>
          </cell>
          <cell r="E65">
            <v>604.58558</v>
          </cell>
          <cell r="F65">
            <v>108.629</v>
          </cell>
          <cell r="I65">
            <v>629.00538</v>
          </cell>
          <cell r="J65">
            <v>108.629</v>
          </cell>
          <cell r="M65">
            <v>654.51147</v>
          </cell>
        </row>
      </sheetData>
      <sheetData sheetId="4">
        <row r="65">
          <cell r="B65">
            <v>1497</v>
          </cell>
          <cell r="E65">
            <v>77.35747</v>
          </cell>
          <cell r="F65">
            <v>1497</v>
          </cell>
          <cell r="I65">
            <v>80.4539</v>
          </cell>
          <cell r="J65">
            <v>1497</v>
          </cell>
          <cell r="M65">
            <v>83.67009</v>
          </cell>
        </row>
      </sheetData>
      <sheetData sheetId="5">
        <row r="65">
          <cell r="B65">
            <v>2065.2799999999997</v>
          </cell>
          <cell r="E65">
            <v>80.15335</v>
          </cell>
          <cell r="F65">
            <v>2065.2799999999997</v>
          </cell>
          <cell r="I65">
            <v>83.35208</v>
          </cell>
          <cell r="J65">
            <v>2065.2799999999997</v>
          </cell>
          <cell r="M65">
            <v>86.68465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C513630DD0A2F9B2EC0205798B851993A5251DC8FCD4308CDDA19182ECC2154EE9666872F0FB998HANDC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C513630DD0A2F9B2EC0205798B851993A5256DB8AC84308CDDA19182EHCNCC" TargetMode="External" /><Relationship Id="rId2" Type="http://schemas.openxmlformats.org/officeDocument/2006/relationships/hyperlink" Target="consultantplus://offline/ref=EC513630DD0A2F9B2EC0205798B851993A5256DC8DCE4308CDDA19182EHCNCC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C513630DD0A2F9B2EC0205798B851993A5251D08ECB4308CDDA19182ECC2154EE9666852E0BHBNDC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C513630DD0A2F9B2EC0205798B851993A5251D08ECB4308CDDA19182ECC2154EE9666852E0BHBNDC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C513630DD0A2F9B2EC0205798B851993A5251D08ECB4308CDDA19182ECC2154EE9666852E0BHBNDC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I86"/>
  <sheetViews>
    <sheetView view="pageBreakPreview" zoomScale="60" zoomScalePageLayoutView="0" workbookViewId="0" topLeftCell="A1">
      <selection activeCell="H9" sqref="H9"/>
    </sheetView>
  </sheetViews>
  <sheetFormatPr defaultColWidth="28.8515625" defaultRowHeight="15"/>
  <cols>
    <col min="1" max="1" width="6.421875" style="70" customWidth="1"/>
    <col min="2" max="2" width="8.140625" style="70" customWidth="1"/>
    <col min="3" max="3" width="54.00390625" style="70" customWidth="1"/>
    <col min="4" max="4" width="39.7109375" style="70" customWidth="1"/>
    <col min="5" max="5" width="24.7109375" style="70" customWidth="1"/>
    <col min="6" max="6" width="23.57421875" style="70" customWidth="1"/>
    <col min="7" max="7" width="30.8515625" style="70" customWidth="1"/>
    <col min="8" max="8" width="21.7109375" style="70" customWidth="1"/>
    <col min="9" max="9" width="16.57421875" style="70" customWidth="1"/>
    <col min="10" max="10" width="15.421875" style="129" customWidth="1"/>
    <col min="11" max="11" width="16.8515625" style="129" customWidth="1"/>
    <col min="12" max="12" width="23.8515625" style="129" customWidth="1"/>
    <col min="13" max="16384" width="28.8515625" style="129" customWidth="1"/>
  </cols>
  <sheetData>
    <row r="1" spans="5:9" ht="18.75" customHeight="1">
      <c r="E1" s="325"/>
      <c r="F1" s="325"/>
      <c r="G1" s="325"/>
      <c r="H1" s="117"/>
      <c r="I1" s="117"/>
    </row>
    <row r="2" spans="5:9" ht="109.5" customHeight="1">
      <c r="E2" s="326"/>
      <c r="F2" s="326"/>
      <c r="G2" s="326"/>
      <c r="H2" s="117"/>
      <c r="I2" s="117"/>
    </row>
    <row r="3" spans="5:7" ht="34.5" customHeight="1">
      <c r="E3" s="327"/>
      <c r="F3" s="327"/>
      <c r="G3" s="327"/>
    </row>
    <row r="4" spans="5:7" ht="64.5" customHeight="1">
      <c r="E4" s="328"/>
      <c r="F4" s="328"/>
      <c r="G4" s="328"/>
    </row>
    <row r="5" spans="4:7" ht="18.75" customHeight="1">
      <c r="D5" s="115"/>
      <c r="E5" s="329"/>
      <c r="F5" s="329"/>
      <c r="G5" s="329"/>
    </row>
    <row r="6" spans="5:7" ht="30" customHeight="1">
      <c r="E6" s="330"/>
      <c r="F6" s="330"/>
      <c r="G6" s="330"/>
    </row>
    <row r="7" spans="5:7" ht="18.75" customHeight="1">
      <c r="E7" s="331"/>
      <c r="F7" s="331"/>
      <c r="G7" s="331"/>
    </row>
    <row r="8" spans="5:7" ht="18.75" customHeight="1">
      <c r="E8" s="329"/>
      <c r="F8" s="329"/>
      <c r="G8" s="329"/>
    </row>
    <row r="9" spans="5:7" ht="34.5" customHeight="1">
      <c r="E9" s="325"/>
      <c r="F9" s="325"/>
      <c r="G9" s="325"/>
    </row>
    <row r="10" spans="5:7" ht="12.75" customHeight="1">
      <c r="E10" s="115"/>
      <c r="F10" s="115"/>
      <c r="G10" s="115"/>
    </row>
    <row r="11" spans="5:7" ht="18.75" customHeight="1">
      <c r="E11" s="332"/>
      <c r="F11" s="332"/>
      <c r="G11" s="332"/>
    </row>
    <row r="12" spans="5:7" ht="18.75" customHeight="1">
      <c r="E12" s="332"/>
      <c r="F12" s="332"/>
      <c r="G12" s="332"/>
    </row>
    <row r="13" spans="5:7" ht="18.75" customHeight="1">
      <c r="E13" s="325"/>
      <c r="F13" s="325"/>
      <c r="G13" s="325"/>
    </row>
    <row r="14" spans="5:7" ht="63.75" customHeight="1">
      <c r="E14" s="328" t="s">
        <v>377</v>
      </c>
      <c r="F14" s="328"/>
      <c r="G14" s="328"/>
    </row>
    <row r="15" spans="5:7" ht="18.75" customHeight="1">
      <c r="E15" s="333" t="s">
        <v>230</v>
      </c>
      <c r="F15" s="333"/>
      <c r="G15" s="333"/>
    </row>
    <row r="16" spans="5:7" ht="18.75" customHeight="1">
      <c r="E16" s="328" t="s">
        <v>378</v>
      </c>
      <c r="F16" s="328"/>
      <c r="G16" s="328"/>
    </row>
    <row r="17" spans="5:7" ht="17.25" customHeight="1">
      <c r="E17" s="334" t="s">
        <v>28</v>
      </c>
      <c r="F17" s="334"/>
      <c r="G17" s="334"/>
    </row>
    <row r="18" spans="5:7" ht="12" customHeight="1" thickBot="1">
      <c r="E18" s="68"/>
      <c r="F18" s="68"/>
      <c r="G18" s="68"/>
    </row>
    <row r="19" spans="1:7" ht="19.5" thickBot="1">
      <c r="A19" s="335"/>
      <c r="F19" s="5"/>
      <c r="G19" s="125" t="s">
        <v>29</v>
      </c>
    </row>
    <row r="20" spans="1:7" ht="19.5" thickBot="1">
      <c r="A20" s="335"/>
      <c r="E20" s="115"/>
      <c r="F20" s="118" t="s">
        <v>30</v>
      </c>
      <c r="G20" s="4"/>
    </row>
    <row r="21" spans="1:8" ht="19.5" thickBot="1">
      <c r="A21" s="335"/>
      <c r="E21" s="115"/>
      <c r="F21" s="118" t="s">
        <v>31</v>
      </c>
      <c r="G21" s="128">
        <v>53033442</v>
      </c>
      <c r="H21" s="69"/>
    </row>
    <row r="22" spans="1:7" ht="63.75" customHeight="1" thickBot="1">
      <c r="A22" s="335"/>
      <c r="E22" s="329" t="s">
        <v>32</v>
      </c>
      <c r="F22" s="336"/>
      <c r="G22" s="128"/>
    </row>
    <row r="23" spans="1:7" ht="19.5" thickBot="1">
      <c r="A23" s="335"/>
      <c r="E23" s="115"/>
      <c r="F23" s="118" t="s">
        <v>33</v>
      </c>
      <c r="G23" s="128">
        <v>4100014318</v>
      </c>
    </row>
    <row r="24" spans="1:7" ht="19.5" thickBot="1">
      <c r="A24" s="335"/>
      <c r="E24" s="115"/>
      <c r="F24" s="118" t="s">
        <v>34</v>
      </c>
      <c r="G24" s="128">
        <v>410101001</v>
      </c>
    </row>
    <row r="25" spans="1:7" ht="31.5" customHeight="1" thickBot="1">
      <c r="A25" s="335"/>
      <c r="E25" s="337" t="s">
        <v>35</v>
      </c>
      <c r="F25" s="338"/>
      <c r="G25" s="128">
        <v>383</v>
      </c>
    </row>
    <row r="26" spans="1:7" ht="75" customHeight="1" thickBot="1">
      <c r="A26" s="335"/>
      <c r="E26" s="329" t="s">
        <v>36</v>
      </c>
      <c r="F26" s="336"/>
      <c r="G26" s="4"/>
    </row>
    <row r="28" spans="1:6" ht="24" customHeight="1">
      <c r="A28" s="339" t="s">
        <v>26</v>
      </c>
      <c r="B28" s="339"/>
      <c r="C28" s="339"/>
      <c r="D28" s="339"/>
      <c r="E28" s="339"/>
      <c r="F28" s="339"/>
    </row>
    <row r="29" ht="18.75">
      <c r="B29" s="130"/>
    </row>
    <row r="30" spans="1:9" ht="78" customHeight="1">
      <c r="A30" s="326" t="s">
        <v>357</v>
      </c>
      <c r="B30" s="326"/>
      <c r="C30" s="326"/>
      <c r="D30" s="326"/>
      <c r="E30" s="326"/>
      <c r="F30" s="326"/>
      <c r="G30" s="326"/>
      <c r="H30" s="23"/>
      <c r="I30" s="23"/>
    </row>
    <row r="31" spans="1:9" ht="52.5" customHeight="1">
      <c r="A31" s="326" t="s">
        <v>379</v>
      </c>
      <c r="B31" s="326"/>
      <c r="C31" s="326"/>
      <c r="D31" s="326"/>
      <c r="E31" s="326"/>
      <c r="F31" s="326"/>
      <c r="G31" s="326"/>
      <c r="H31" s="117"/>
      <c r="I31" s="117"/>
    </row>
    <row r="32" spans="1:9" ht="57.75" customHeight="1">
      <c r="A32" s="326" t="s">
        <v>27</v>
      </c>
      <c r="B32" s="326"/>
      <c r="C32" s="326"/>
      <c r="D32" s="326"/>
      <c r="E32" s="326"/>
      <c r="F32" s="326"/>
      <c r="G32" s="326"/>
      <c r="H32" s="117"/>
      <c r="I32" s="117"/>
    </row>
    <row r="33" spans="1:9" ht="18.75" customHeight="1">
      <c r="A33" s="116"/>
      <c r="B33" s="116"/>
      <c r="C33" s="116"/>
      <c r="D33" s="116"/>
      <c r="E33" s="116"/>
      <c r="F33" s="116"/>
      <c r="G33" s="116"/>
      <c r="H33" s="117"/>
      <c r="I33" s="117"/>
    </row>
    <row r="34" spans="1:9" ht="22.5" customHeight="1">
      <c r="A34" s="116"/>
      <c r="B34" s="116"/>
      <c r="C34" s="116"/>
      <c r="D34" s="116"/>
      <c r="E34" s="116"/>
      <c r="F34" s="116"/>
      <c r="G34" s="116"/>
      <c r="H34" s="117"/>
      <c r="I34" s="117"/>
    </row>
    <row r="35" spans="1:9" ht="52.5" customHeight="1">
      <c r="A35" s="340" t="s">
        <v>380</v>
      </c>
      <c r="B35" s="340"/>
      <c r="C35" s="340"/>
      <c r="D35" s="340"/>
      <c r="E35" s="340"/>
      <c r="F35" s="340"/>
      <c r="G35" s="340"/>
      <c r="H35" s="117"/>
      <c r="I35" s="117"/>
    </row>
    <row r="36" spans="1:9" ht="52.5" customHeight="1">
      <c r="A36" s="119"/>
      <c r="B36" s="340" t="s">
        <v>41</v>
      </c>
      <c r="C36" s="340"/>
      <c r="D36" s="340"/>
      <c r="E36" s="340"/>
      <c r="F36" s="340"/>
      <c r="G36" s="147">
        <f>G38</f>
        <v>51933345.66</v>
      </c>
      <c r="H36" s="117"/>
      <c r="I36" s="117"/>
    </row>
    <row r="37" spans="1:9" ht="52.5" customHeight="1">
      <c r="A37" s="119"/>
      <c r="B37" s="340" t="s">
        <v>22</v>
      </c>
      <c r="C37" s="340"/>
      <c r="D37" s="340"/>
      <c r="E37" s="340"/>
      <c r="F37" s="340"/>
      <c r="G37" s="62"/>
      <c r="H37" s="117"/>
      <c r="I37" s="117"/>
    </row>
    <row r="38" spans="1:9" s="109" customFormat="1" ht="52.5" customHeight="1">
      <c r="A38" s="120"/>
      <c r="B38" s="341" t="s">
        <v>278</v>
      </c>
      <c r="C38" s="341"/>
      <c r="D38" s="341"/>
      <c r="E38" s="341"/>
      <c r="F38" s="341"/>
      <c r="G38" s="107">
        <v>51933345.66</v>
      </c>
      <c r="H38" s="108"/>
      <c r="I38" s="108"/>
    </row>
    <row r="39" spans="1:9" ht="52.5" customHeight="1">
      <c r="A39" s="119"/>
      <c r="B39" s="340" t="s">
        <v>279</v>
      </c>
      <c r="C39" s="340"/>
      <c r="D39" s="340"/>
      <c r="E39" s="340"/>
      <c r="F39" s="340"/>
      <c r="G39" s="62">
        <v>38342464.07</v>
      </c>
      <c r="H39" s="117"/>
      <c r="I39" s="117"/>
    </row>
    <row r="40" spans="1:9" ht="52.5" customHeight="1">
      <c r="A40" s="119"/>
      <c r="B40" s="340" t="s">
        <v>280</v>
      </c>
      <c r="C40" s="340"/>
      <c r="D40" s="340"/>
      <c r="E40" s="340"/>
      <c r="F40" s="340"/>
      <c r="G40" s="62">
        <v>0</v>
      </c>
      <c r="H40" s="117"/>
      <c r="I40" s="117"/>
    </row>
    <row r="41" spans="1:9" ht="52.5" customHeight="1">
      <c r="A41" s="119"/>
      <c r="B41" s="340" t="s">
        <v>281</v>
      </c>
      <c r="C41" s="340"/>
      <c r="D41" s="340"/>
      <c r="E41" s="340"/>
      <c r="F41" s="340"/>
      <c r="G41" s="62">
        <v>0</v>
      </c>
      <c r="H41" s="117"/>
      <c r="I41" s="117"/>
    </row>
    <row r="42" spans="1:9" ht="52.5" customHeight="1">
      <c r="A42" s="340" t="s">
        <v>381</v>
      </c>
      <c r="B42" s="340"/>
      <c r="C42" s="340"/>
      <c r="D42" s="340"/>
      <c r="E42" s="340"/>
      <c r="F42" s="340"/>
      <c r="G42" s="340"/>
      <c r="H42" s="117"/>
      <c r="I42" s="117"/>
    </row>
    <row r="43" spans="1:9" ht="52.5" customHeight="1">
      <c r="A43" s="119"/>
      <c r="B43" s="340" t="s">
        <v>41</v>
      </c>
      <c r="C43" s="340"/>
      <c r="D43" s="340"/>
      <c r="E43" s="340"/>
      <c r="F43" s="340"/>
      <c r="G43" s="147">
        <v>35503625.18</v>
      </c>
      <c r="H43" s="117"/>
      <c r="I43" s="117"/>
    </row>
    <row r="44" spans="1:9" ht="52.5" customHeight="1">
      <c r="A44" s="119"/>
      <c r="B44" s="340" t="s">
        <v>22</v>
      </c>
      <c r="C44" s="340"/>
      <c r="D44" s="340"/>
      <c r="E44" s="340"/>
      <c r="F44" s="340"/>
      <c r="G44" s="62"/>
      <c r="H44" s="117"/>
      <c r="I44" s="117"/>
    </row>
    <row r="45" spans="1:9" s="109" customFormat="1" ht="52.5" customHeight="1">
      <c r="A45" s="120"/>
      <c r="B45" s="341" t="s">
        <v>282</v>
      </c>
      <c r="C45" s="341"/>
      <c r="D45" s="341"/>
      <c r="E45" s="341"/>
      <c r="F45" s="341"/>
      <c r="G45" s="107">
        <v>94087.1</v>
      </c>
      <c r="H45" s="108"/>
      <c r="I45" s="108"/>
    </row>
    <row r="46" spans="1:9" s="109" customFormat="1" ht="52.5" customHeight="1">
      <c r="A46" s="120"/>
      <c r="B46" s="341" t="s">
        <v>283</v>
      </c>
      <c r="C46" s="341"/>
      <c r="D46" s="341"/>
      <c r="E46" s="341"/>
      <c r="F46" s="341"/>
      <c r="G46" s="107">
        <v>17329162.73</v>
      </c>
      <c r="H46" s="108"/>
      <c r="I46" s="108"/>
    </row>
    <row r="47" spans="1:9" ht="18.75" customHeight="1">
      <c r="A47" s="116"/>
      <c r="B47" s="116"/>
      <c r="C47" s="116"/>
      <c r="D47" s="116"/>
      <c r="E47" s="116"/>
      <c r="F47" s="116"/>
      <c r="G47" s="116"/>
      <c r="H47" s="117"/>
      <c r="I47" s="117"/>
    </row>
    <row r="48" spans="1:6" ht="37.5" customHeight="1">
      <c r="A48" s="117"/>
      <c r="B48" s="342" t="s">
        <v>24</v>
      </c>
      <c r="C48" s="342"/>
      <c r="D48" s="342"/>
      <c r="E48" s="342"/>
      <c r="F48" s="117"/>
    </row>
    <row r="49" spans="1:6" ht="19.5" customHeight="1">
      <c r="A49" s="10"/>
      <c r="B49" s="343" t="s">
        <v>441</v>
      </c>
      <c r="C49" s="343"/>
      <c r="D49" s="343"/>
      <c r="E49" s="10"/>
      <c r="F49" s="10"/>
    </row>
    <row r="50" spans="1:6" ht="20.25" customHeight="1">
      <c r="A50" s="42"/>
      <c r="B50" s="344" t="s">
        <v>25</v>
      </c>
      <c r="C50" s="344"/>
      <c r="D50" s="344"/>
      <c r="E50" s="42"/>
      <c r="F50" s="42"/>
    </row>
    <row r="51" spans="3:4" ht="20.25" customHeight="1" thickBot="1">
      <c r="C51" s="130"/>
      <c r="D51" s="70" t="s">
        <v>90</v>
      </c>
    </row>
    <row r="52" spans="2:5" ht="19.5" thickBot="1">
      <c r="B52" s="1" t="s">
        <v>0</v>
      </c>
      <c r="C52" s="125" t="s">
        <v>1</v>
      </c>
      <c r="D52" s="125" t="s">
        <v>2</v>
      </c>
      <c r="E52" s="12"/>
    </row>
    <row r="53" spans="2:5" ht="18" customHeight="1" thickBot="1">
      <c r="B53" s="124">
        <v>1</v>
      </c>
      <c r="C53" s="128">
        <v>2</v>
      </c>
      <c r="D53" s="128">
        <v>3</v>
      </c>
      <c r="E53" s="12"/>
    </row>
    <row r="54" spans="2:5" ht="25.5" customHeight="1" thickBot="1">
      <c r="B54" s="121"/>
      <c r="C54" s="128" t="s">
        <v>3</v>
      </c>
      <c r="D54" s="48">
        <v>163530014.04</v>
      </c>
      <c r="E54" s="13"/>
    </row>
    <row r="55" spans="2:5" ht="18" customHeight="1">
      <c r="B55" s="345"/>
      <c r="C55" s="7" t="s">
        <v>4</v>
      </c>
      <c r="D55" s="347">
        <f>G38</f>
        <v>51933345.66</v>
      </c>
      <c r="E55" s="13"/>
    </row>
    <row r="56" spans="2:5" ht="27.75" customHeight="1" thickBot="1">
      <c r="B56" s="346"/>
      <c r="C56" s="20" t="s">
        <v>5</v>
      </c>
      <c r="D56" s="348"/>
      <c r="E56" s="13"/>
    </row>
    <row r="57" spans="2:5" ht="29.25" customHeight="1" thickBot="1">
      <c r="B57" s="121"/>
      <c r="C57" s="128" t="s">
        <v>6</v>
      </c>
      <c r="D57" s="21">
        <v>29293636.98</v>
      </c>
      <c r="E57" s="13"/>
    </row>
    <row r="58" spans="2:5" ht="35.25" customHeight="1" thickBot="1">
      <c r="B58" s="121"/>
      <c r="C58" s="128" t="s">
        <v>7</v>
      </c>
      <c r="D58" s="21">
        <f>G46</f>
        <v>17329162.73</v>
      </c>
      <c r="E58" s="13"/>
    </row>
    <row r="59" spans="2:5" ht="35.25" customHeight="1" thickBot="1">
      <c r="B59" s="121"/>
      <c r="C59" s="128" t="s">
        <v>6</v>
      </c>
      <c r="D59" s="21">
        <v>3343508.96</v>
      </c>
      <c r="E59" s="13"/>
    </row>
    <row r="60" spans="1:9" s="127" customFormat="1" ht="35.25" customHeight="1" thickBot="1">
      <c r="A60" s="63"/>
      <c r="B60" s="64"/>
      <c r="C60" s="65" t="s">
        <v>8</v>
      </c>
      <c r="D60" s="73">
        <f>D61</f>
        <v>2817685.61</v>
      </c>
      <c r="E60" s="67"/>
      <c r="F60" s="63"/>
      <c r="G60" s="63"/>
      <c r="H60" s="63"/>
      <c r="I60" s="63"/>
    </row>
    <row r="61" spans="2:5" ht="18" customHeight="1">
      <c r="B61" s="345"/>
      <c r="C61" s="7" t="s">
        <v>4</v>
      </c>
      <c r="D61" s="347">
        <v>2817685.61</v>
      </c>
      <c r="E61" s="13"/>
    </row>
    <row r="62" spans="2:5" ht="27" customHeight="1" thickBot="1">
      <c r="B62" s="346"/>
      <c r="C62" s="20" t="s">
        <v>9</v>
      </c>
      <c r="D62" s="348"/>
      <c r="E62" s="13"/>
    </row>
    <row r="63" spans="2:5" ht="18" customHeight="1">
      <c r="B63" s="345"/>
      <c r="C63" s="7" t="s">
        <v>4</v>
      </c>
      <c r="D63" s="347">
        <f>D61</f>
        <v>2817685.61</v>
      </c>
      <c r="E63" s="13"/>
    </row>
    <row r="64" spans="2:5" ht="29.25" customHeight="1" thickBot="1">
      <c r="B64" s="346"/>
      <c r="C64" s="20" t="s">
        <v>10</v>
      </c>
      <c r="D64" s="348"/>
      <c r="E64" s="13"/>
    </row>
    <row r="65" spans="2:5" ht="59.25" customHeight="1" thickBot="1">
      <c r="B65" s="121"/>
      <c r="C65" s="20" t="s">
        <v>11</v>
      </c>
      <c r="D65" s="21">
        <v>0</v>
      </c>
      <c r="E65" s="13"/>
    </row>
    <row r="66" spans="2:5" ht="46.5" customHeight="1" thickBot="1">
      <c r="B66" s="121"/>
      <c r="C66" s="20" t="s">
        <v>12</v>
      </c>
      <c r="D66" s="21">
        <v>0</v>
      </c>
      <c r="E66" s="13"/>
    </row>
    <row r="67" spans="1:9" s="109" customFormat="1" ht="46.5" customHeight="1" thickBot="1">
      <c r="A67" s="110"/>
      <c r="B67" s="111"/>
      <c r="C67" s="112" t="s">
        <v>13</v>
      </c>
      <c r="D67" s="113">
        <f>D68+D70</f>
        <v>728372.96</v>
      </c>
      <c r="E67" s="114"/>
      <c r="F67" s="110"/>
      <c r="G67" s="110"/>
      <c r="H67" s="110"/>
      <c r="I67" s="110"/>
    </row>
    <row r="68" spans="2:5" ht="18" customHeight="1">
      <c r="B68" s="345"/>
      <c r="C68" s="7" t="s">
        <v>4</v>
      </c>
      <c r="D68" s="347">
        <v>375400.71</v>
      </c>
      <c r="E68" s="13"/>
    </row>
    <row r="69" spans="2:5" ht="35.25" customHeight="1" thickBot="1">
      <c r="B69" s="346"/>
      <c r="C69" s="20" t="s">
        <v>14</v>
      </c>
      <c r="D69" s="348"/>
      <c r="E69" s="13"/>
    </row>
    <row r="70" spans="2:5" ht="35.25" customHeight="1" thickBot="1">
      <c r="B70" s="121"/>
      <c r="C70" s="20" t="s">
        <v>15</v>
      </c>
      <c r="D70" s="21">
        <v>352972.25</v>
      </c>
      <c r="E70" s="13"/>
    </row>
    <row r="71" spans="2:5" ht="35.25" customHeight="1" thickBot="1">
      <c r="B71" s="121"/>
      <c r="C71" s="20" t="s">
        <v>16</v>
      </c>
      <c r="D71" s="21">
        <v>0</v>
      </c>
      <c r="E71" s="13"/>
    </row>
    <row r="72" spans="2:5" ht="32.25" customHeight="1" thickBot="1">
      <c r="B72" s="121"/>
      <c r="C72" s="128" t="s">
        <v>17</v>
      </c>
      <c r="D72" s="48"/>
      <c r="E72" s="13"/>
    </row>
    <row r="73" spans="2:5" ht="18" customHeight="1">
      <c r="B73" s="345"/>
      <c r="C73" s="7" t="s">
        <v>4</v>
      </c>
      <c r="D73" s="347">
        <v>0</v>
      </c>
      <c r="E73" s="13"/>
    </row>
    <row r="74" spans="2:5" ht="18" customHeight="1" thickBot="1">
      <c r="B74" s="346"/>
      <c r="C74" s="20" t="s">
        <v>18</v>
      </c>
      <c r="D74" s="348"/>
      <c r="E74" s="13"/>
    </row>
    <row r="75" spans="1:9" s="109" customFormat="1" ht="42.75" customHeight="1" thickBot="1">
      <c r="A75" s="110"/>
      <c r="B75" s="111"/>
      <c r="C75" s="112" t="s">
        <v>19</v>
      </c>
      <c r="D75" s="113">
        <f>D76+D78+D79</f>
        <v>402563.36</v>
      </c>
      <c r="E75" s="114"/>
      <c r="F75" s="110"/>
      <c r="G75" s="110"/>
      <c r="H75" s="110"/>
      <c r="I75" s="110"/>
    </row>
    <row r="76" spans="2:5" ht="18" customHeight="1">
      <c r="B76" s="345"/>
      <c r="C76" s="7" t="s">
        <v>4</v>
      </c>
      <c r="D76" s="347">
        <v>328864.41</v>
      </c>
      <c r="E76" s="13"/>
    </row>
    <row r="77" spans="2:5" ht="87" customHeight="1" thickBot="1">
      <c r="B77" s="346"/>
      <c r="C77" s="20" t="s">
        <v>20</v>
      </c>
      <c r="D77" s="348"/>
      <c r="E77" s="13"/>
    </row>
    <row r="78" spans="2:5" ht="87" customHeight="1" thickBot="1">
      <c r="B78" s="121"/>
      <c r="C78" s="20" t="s">
        <v>21</v>
      </c>
      <c r="D78" s="21">
        <v>69775.89</v>
      </c>
      <c r="E78" s="13"/>
    </row>
    <row r="79" spans="2:5" ht="60.75" customHeight="1" thickBot="1">
      <c r="B79" s="323"/>
      <c r="C79" s="20" t="s">
        <v>470</v>
      </c>
      <c r="D79" s="324">
        <v>3923.06</v>
      </c>
      <c r="E79" s="13"/>
    </row>
    <row r="80" spans="2:5" ht="18" customHeight="1">
      <c r="B80" s="345"/>
      <c r="C80" s="7" t="s">
        <v>22</v>
      </c>
      <c r="D80" s="347">
        <v>0</v>
      </c>
      <c r="E80" s="13"/>
    </row>
    <row r="81" spans="2:5" ht="45.75" customHeight="1" thickBot="1">
      <c r="B81" s="346"/>
      <c r="C81" s="20" t="s">
        <v>23</v>
      </c>
      <c r="D81" s="348"/>
      <c r="E81" s="13"/>
    </row>
    <row r="82" spans="2:5" ht="18" customHeight="1">
      <c r="B82" s="349"/>
      <c r="C82" s="7" t="s">
        <v>4</v>
      </c>
      <c r="D82" s="122"/>
      <c r="E82" s="13"/>
    </row>
    <row r="83" spans="2:5" ht="63.75" customHeight="1" thickBot="1">
      <c r="B83" s="350"/>
      <c r="C83" s="20" t="s">
        <v>20</v>
      </c>
      <c r="D83" s="123">
        <v>0</v>
      </c>
      <c r="E83" s="13"/>
    </row>
    <row r="84" spans="2:5" ht="79.5" customHeight="1" thickBot="1">
      <c r="B84" s="124"/>
      <c r="C84" s="20" t="s">
        <v>21</v>
      </c>
      <c r="D84" s="21">
        <v>0</v>
      </c>
      <c r="E84" s="12"/>
    </row>
    <row r="85" spans="2:5" ht="18" customHeight="1">
      <c r="B85" s="349"/>
      <c r="C85" s="7" t="s">
        <v>22</v>
      </c>
      <c r="D85" s="122"/>
      <c r="E85" s="13"/>
    </row>
    <row r="86" spans="2:5" ht="48" customHeight="1" thickBot="1">
      <c r="B86" s="350"/>
      <c r="C86" s="20" t="s">
        <v>23</v>
      </c>
      <c r="D86" s="123">
        <v>0</v>
      </c>
      <c r="E86" s="13"/>
    </row>
  </sheetData>
  <sheetProtection/>
  <mergeCells count="54">
    <mergeCell ref="B80:B81"/>
    <mergeCell ref="D80:D81"/>
    <mergeCell ref="B82:B83"/>
    <mergeCell ref="B85:B86"/>
    <mergeCell ref="B68:B69"/>
    <mergeCell ref="D68:D69"/>
    <mergeCell ref="B73:B74"/>
    <mergeCell ref="D73:D74"/>
    <mergeCell ref="B76:B77"/>
    <mergeCell ref="D76:D77"/>
    <mergeCell ref="B50:D50"/>
    <mergeCell ref="B55:B56"/>
    <mergeCell ref="D55:D56"/>
    <mergeCell ref="B61:B62"/>
    <mergeCell ref="D61:D62"/>
    <mergeCell ref="B63:B64"/>
    <mergeCell ref="D63:D64"/>
    <mergeCell ref="B43:F43"/>
    <mergeCell ref="B44:F44"/>
    <mergeCell ref="B45:F45"/>
    <mergeCell ref="B46:F46"/>
    <mergeCell ref="B48:E48"/>
    <mergeCell ref="B49:D49"/>
    <mergeCell ref="B37:F37"/>
    <mergeCell ref="B38:F38"/>
    <mergeCell ref="B39:F39"/>
    <mergeCell ref="B40:F40"/>
    <mergeCell ref="B41:F41"/>
    <mergeCell ref="A42:G42"/>
    <mergeCell ref="A28:F28"/>
    <mergeCell ref="A30:G30"/>
    <mergeCell ref="A31:G31"/>
    <mergeCell ref="A32:G32"/>
    <mergeCell ref="A35:G35"/>
    <mergeCell ref="B36:F36"/>
    <mergeCell ref="E15:G15"/>
    <mergeCell ref="E16:G16"/>
    <mergeCell ref="E17:G17"/>
    <mergeCell ref="A19:A26"/>
    <mergeCell ref="E22:F22"/>
    <mergeCell ref="E25:F25"/>
    <mergeCell ref="E26:F26"/>
    <mergeCell ref="E8:G8"/>
    <mergeCell ref="E9:G9"/>
    <mergeCell ref="E11:G11"/>
    <mergeCell ref="E12:G12"/>
    <mergeCell ref="E13:G13"/>
    <mergeCell ref="E14:G14"/>
    <mergeCell ref="E1:G1"/>
    <mergeCell ref="E2:G2"/>
    <mergeCell ref="E3:G3"/>
    <mergeCell ref="E4:G4"/>
    <mergeCell ref="E5:G5"/>
    <mergeCell ref="E6:G7"/>
  </mergeCells>
  <hyperlinks>
    <hyperlink ref="E25" r:id="rId1" display="consultantplus://offline/ref=EC513630DD0A2F9B2EC0205798B851993A5251DC8FCD4308CDDA19182ECC2154EE9666872F0FB998HANDC"/>
  </hyperlinks>
  <printOptions/>
  <pageMargins left="0.7086614173228347" right="0.7086614173228347" top="0.22" bottom="0.25" header="0.31496062992125984" footer="0.44"/>
  <pageSetup horizontalDpi="600" verticalDpi="600" orientation="portrait" paperSize="9" scale="46" r:id="rId3"/>
  <rowBreaks count="1" manualBreakCount="1">
    <brk id="47" max="6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164"/>
  <sheetViews>
    <sheetView view="pageBreakPreview" zoomScale="60" zoomScaleNormal="72" zoomScalePageLayoutView="0" workbookViewId="0" topLeftCell="A80">
      <selection activeCell="C157" sqref="C157"/>
    </sheetView>
  </sheetViews>
  <sheetFormatPr defaultColWidth="9.140625" defaultRowHeight="15"/>
  <cols>
    <col min="1" max="1" width="9.00390625" style="0" customWidth="1"/>
    <col min="2" max="2" width="44.00390625" style="0" customWidth="1"/>
    <col min="3" max="3" width="20.7109375" style="0" customWidth="1"/>
    <col min="4" max="4" width="22.7109375" style="0" customWidth="1"/>
    <col min="5" max="5" width="22.00390625" style="0" customWidth="1"/>
    <col min="6" max="6" width="21.421875" style="0" customWidth="1"/>
    <col min="7" max="7" width="19.140625" style="0" customWidth="1"/>
    <col min="8" max="8" width="19.7109375" style="0" customWidth="1"/>
    <col min="9" max="9" width="26.00390625" style="0" customWidth="1"/>
    <col min="10" max="10" width="21.140625" style="0" customWidth="1"/>
    <col min="11" max="11" width="10.57421875" style="0" bestFit="1" customWidth="1"/>
    <col min="12" max="12" width="25.8515625" style="0" customWidth="1"/>
    <col min="13" max="13" width="18.7109375" style="0" customWidth="1"/>
    <col min="14" max="14" width="9.421875" style="0" bestFit="1" customWidth="1"/>
    <col min="18" max="19" width="13.421875" style="0" bestFit="1" customWidth="1"/>
  </cols>
  <sheetData>
    <row r="1" spans="6:10" ht="18.75">
      <c r="F1" s="417" t="s">
        <v>107</v>
      </c>
      <c r="G1" s="417"/>
      <c r="H1" s="11"/>
      <c r="J1" s="11"/>
    </row>
    <row r="2" spans="5:10" ht="18.75">
      <c r="E2" s="23"/>
      <c r="F2" s="23" t="s">
        <v>400</v>
      </c>
      <c r="G2" s="23"/>
      <c r="H2" s="11"/>
      <c r="J2" s="11"/>
    </row>
    <row r="3" spans="5:10" ht="16.5">
      <c r="E3" s="158"/>
      <c r="F3" s="158" t="s">
        <v>399</v>
      </c>
      <c r="G3" s="158"/>
      <c r="H3" s="22"/>
      <c r="J3" s="22"/>
    </row>
    <row r="4" spans="6:10" ht="16.5">
      <c r="F4" s="158" t="s">
        <v>110</v>
      </c>
      <c r="G4" s="158"/>
      <c r="H4" s="22"/>
      <c r="J4" s="22"/>
    </row>
    <row r="5" spans="6:10" ht="16.5">
      <c r="F5" s="158" t="s">
        <v>111</v>
      </c>
      <c r="G5" s="158"/>
      <c r="H5" s="22"/>
      <c r="J5" s="22"/>
    </row>
    <row r="6" spans="5:10" ht="16.5">
      <c r="E6" s="158"/>
      <c r="F6" s="158" t="s">
        <v>112</v>
      </c>
      <c r="G6" s="158"/>
      <c r="H6" s="22"/>
      <c r="J6" s="22"/>
    </row>
    <row r="7" spans="5:10" ht="16.5">
      <c r="E7" s="158"/>
      <c r="F7" s="158" t="s">
        <v>113</v>
      </c>
      <c r="G7" s="158"/>
      <c r="H7" s="22"/>
      <c r="J7" s="22"/>
    </row>
    <row r="8" spans="6:10" ht="16.5">
      <c r="F8" s="22" t="s">
        <v>114</v>
      </c>
      <c r="H8" s="22"/>
      <c r="J8" s="22"/>
    </row>
    <row r="11" spans="1:10" ht="15" customHeight="1">
      <c r="A11" s="339" t="s">
        <v>419</v>
      </c>
      <c r="B11" s="339"/>
      <c r="C11" s="339"/>
      <c r="D11" s="339"/>
      <c r="E11" s="339"/>
      <c r="F11" s="339"/>
      <c r="G11" s="339"/>
      <c r="H11" s="159"/>
      <c r="I11" s="159"/>
      <c r="J11" s="159"/>
    </row>
    <row r="12" spans="1:10" ht="18.75" hidden="1">
      <c r="A12" s="101"/>
      <c r="B12" s="101"/>
      <c r="C12" s="197"/>
      <c r="D12" s="101"/>
      <c r="E12" s="101"/>
      <c r="F12" s="101"/>
      <c r="G12" s="101"/>
      <c r="H12" s="101"/>
      <c r="I12" s="101"/>
      <c r="J12" s="101"/>
    </row>
    <row r="13" spans="1:10" ht="18.75" hidden="1">
      <c r="A13" s="339" t="s">
        <v>115</v>
      </c>
      <c r="B13" s="339"/>
      <c r="C13" s="339"/>
      <c r="D13" s="339"/>
      <c r="E13" s="339"/>
      <c r="F13" s="339"/>
      <c r="G13" s="339"/>
      <c r="H13" s="339"/>
      <c r="I13" s="339"/>
      <c r="J13" s="339"/>
    </row>
    <row r="14" spans="1:10" ht="15" hidden="1">
      <c r="A14" s="101"/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0" ht="18.75" hidden="1">
      <c r="A15" s="417" t="s">
        <v>284</v>
      </c>
      <c r="B15" s="417"/>
      <c r="C15" s="417"/>
      <c r="D15" s="417"/>
      <c r="E15" s="417"/>
      <c r="F15" s="417"/>
      <c r="G15" s="417"/>
      <c r="H15" s="417"/>
      <c r="I15" s="417"/>
      <c r="J15" s="417"/>
    </row>
    <row r="16" spans="1:10" ht="21" customHeight="1" hidden="1">
      <c r="A16" s="417" t="s">
        <v>285</v>
      </c>
      <c r="B16" s="417"/>
      <c r="C16" s="417"/>
      <c r="D16" s="417"/>
      <c r="E16" s="417"/>
      <c r="F16" s="417"/>
      <c r="G16" s="417"/>
      <c r="H16" s="417"/>
      <c r="I16" s="417"/>
      <c r="J16" s="417"/>
    </row>
    <row r="17" ht="18.75" hidden="1">
      <c r="A17" s="23"/>
    </row>
    <row r="18" spans="1:10" ht="18.75" hidden="1">
      <c r="A18" s="339" t="s">
        <v>116</v>
      </c>
      <c r="B18" s="339"/>
      <c r="C18" s="339"/>
      <c r="D18" s="339"/>
      <c r="E18" s="339"/>
      <c r="F18" s="339"/>
      <c r="G18" s="339"/>
      <c r="H18" s="339"/>
      <c r="I18" s="339"/>
      <c r="J18" s="339"/>
    </row>
    <row r="19" ht="15" hidden="1">
      <c r="I19">
        <v>1.6</v>
      </c>
    </row>
    <row r="20" spans="1:10" ht="36" customHeight="1" hidden="1" thickBot="1">
      <c r="A20" s="349" t="s">
        <v>0</v>
      </c>
      <c r="B20" s="349" t="s">
        <v>117</v>
      </c>
      <c r="C20" s="349" t="s">
        <v>349</v>
      </c>
      <c r="D20" s="355" t="s">
        <v>118</v>
      </c>
      <c r="E20" s="356"/>
      <c r="F20" s="356"/>
      <c r="G20" s="357"/>
      <c r="H20" s="349" t="s">
        <v>119</v>
      </c>
      <c r="I20" s="349" t="s">
        <v>120</v>
      </c>
      <c r="J20" s="349" t="s">
        <v>350</v>
      </c>
    </row>
    <row r="21" spans="1:10" ht="19.5" hidden="1" thickBot="1">
      <c r="A21" s="354"/>
      <c r="B21" s="354"/>
      <c r="C21" s="354"/>
      <c r="D21" s="349" t="s">
        <v>121</v>
      </c>
      <c r="E21" s="355" t="s">
        <v>22</v>
      </c>
      <c r="F21" s="356"/>
      <c r="G21" s="357"/>
      <c r="H21" s="354"/>
      <c r="I21" s="354"/>
      <c r="J21" s="354"/>
    </row>
    <row r="22" spans="1:10" ht="109.5" customHeight="1" hidden="1" thickBot="1">
      <c r="A22" s="350"/>
      <c r="B22" s="350"/>
      <c r="C22" s="350"/>
      <c r="D22" s="350"/>
      <c r="E22" s="202" t="s">
        <v>122</v>
      </c>
      <c r="F22" s="202" t="s">
        <v>123</v>
      </c>
      <c r="G22" s="202" t="s">
        <v>124</v>
      </c>
      <c r="H22" s="350"/>
      <c r="I22" s="350"/>
      <c r="J22" s="350"/>
    </row>
    <row r="23" spans="1:10" ht="19.5" hidden="1" thickBot="1">
      <c r="A23" s="196">
        <v>1</v>
      </c>
      <c r="B23" s="202">
        <v>2</v>
      </c>
      <c r="C23" s="202">
        <v>3</v>
      </c>
      <c r="D23" s="202">
        <v>4</v>
      </c>
      <c r="E23" s="202">
        <v>5</v>
      </c>
      <c r="F23" s="202">
        <v>6</v>
      </c>
      <c r="G23" s="202">
        <v>7</v>
      </c>
      <c r="H23" s="202">
        <v>8</v>
      </c>
      <c r="I23" s="202">
        <v>9</v>
      </c>
      <c r="J23" s="202">
        <v>10</v>
      </c>
    </row>
    <row r="24" spans="1:13" ht="19.5" hidden="1" thickBot="1">
      <c r="A24" s="196"/>
      <c r="B24" s="196" t="s">
        <v>286</v>
      </c>
      <c r="C24" s="202"/>
      <c r="D24" s="21"/>
      <c r="E24" s="21"/>
      <c r="F24" s="21"/>
      <c r="G24" s="21"/>
      <c r="H24" s="21"/>
      <c r="I24" s="21"/>
      <c r="J24" s="21"/>
      <c r="L24" s="74"/>
      <c r="M24" s="74"/>
    </row>
    <row r="25" spans="1:13" ht="19.5" hidden="1" thickBot="1">
      <c r="A25" s="196"/>
      <c r="B25" s="196" t="s">
        <v>287</v>
      </c>
      <c r="C25" s="202"/>
      <c r="D25" s="21"/>
      <c r="E25" s="21"/>
      <c r="F25" s="21"/>
      <c r="G25" s="21"/>
      <c r="H25" s="102"/>
      <c r="I25" s="21"/>
      <c r="J25" s="21"/>
      <c r="L25" s="74"/>
      <c r="M25" s="74"/>
    </row>
    <row r="26" spans="1:12" ht="19.5" hidden="1" thickBot="1">
      <c r="A26" s="201"/>
      <c r="B26" s="196" t="s">
        <v>288</v>
      </c>
      <c r="C26" s="202"/>
      <c r="D26" s="21"/>
      <c r="E26" s="21"/>
      <c r="F26" s="21"/>
      <c r="G26" s="21"/>
      <c r="H26" s="21"/>
      <c r="I26" s="21"/>
      <c r="J26" s="21"/>
      <c r="L26" s="74"/>
    </row>
    <row r="27" spans="1:19" ht="19.5" hidden="1" thickBot="1">
      <c r="A27" s="201"/>
      <c r="B27" s="196" t="s">
        <v>289</v>
      </c>
      <c r="C27" s="202"/>
      <c r="D27" s="21"/>
      <c r="E27" s="103"/>
      <c r="F27" s="103"/>
      <c r="G27" s="21"/>
      <c r="H27" s="202"/>
      <c r="I27" s="21"/>
      <c r="J27" s="21"/>
      <c r="L27" s="74"/>
      <c r="M27" s="74"/>
      <c r="R27" s="74">
        <f>L27-J28</f>
        <v>0</v>
      </c>
      <c r="S27" s="75">
        <f>R27-259000-100000</f>
        <v>-359000</v>
      </c>
    </row>
    <row r="28" spans="1:12" ht="39.75" customHeight="1" hidden="1" thickBot="1">
      <c r="A28" s="418" t="s">
        <v>125</v>
      </c>
      <c r="B28" s="419"/>
      <c r="C28" s="104" t="s">
        <v>126</v>
      </c>
      <c r="D28" s="104"/>
      <c r="E28" s="104" t="s">
        <v>126</v>
      </c>
      <c r="F28" s="104" t="s">
        <v>126</v>
      </c>
      <c r="G28" s="104" t="s">
        <v>126</v>
      </c>
      <c r="H28" s="105" t="s">
        <v>126</v>
      </c>
      <c r="I28" s="104" t="s">
        <v>126</v>
      </c>
      <c r="J28" s="106">
        <f>SUM(J24:J27)</f>
        <v>0</v>
      </c>
      <c r="L28" s="74"/>
    </row>
    <row r="29" spans="12:13" ht="15" hidden="1">
      <c r="L29" s="76"/>
      <c r="M29" s="74"/>
    </row>
    <row r="30" spans="12:13" ht="15" hidden="1">
      <c r="L30" s="74"/>
      <c r="M30" s="74"/>
    </row>
    <row r="31" spans="1:12" s="77" customFormat="1" ht="38.25" customHeight="1" hidden="1">
      <c r="A31" s="420" t="s">
        <v>170</v>
      </c>
      <c r="B31" s="420"/>
      <c r="C31" s="420"/>
      <c r="D31" s="420"/>
      <c r="E31" s="420"/>
      <c r="F31" s="420"/>
      <c r="L31" s="78"/>
    </row>
    <row r="32" s="77" customFormat="1" ht="15" hidden="1">
      <c r="L32" s="78"/>
    </row>
    <row r="33" spans="1:12" s="77" customFormat="1" ht="123" customHeight="1" hidden="1" thickBot="1">
      <c r="A33" s="79" t="s">
        <v>0</v>
      </c>
      <c r="B33" s="203" t="s">
        <v>127</v>
      </c>
      <c r="C33" s="203" t="s">
        <v>128</v>
      </c>
      <c r="D33" s="203" t="s">
        <v>129</v>
      </c>
      <c r="E33" s="203" t="s">
        <v>130</v>
      </c>
      <c r="F33" s="203" t="s">
        <v>131</v>
      </c>
      <c r="L33" s="78"/>
    </row>
    <row r="34" spans="1:6" s="77" customFormat="1" ht="19.5" hidden="1" thickBot="1">
      <c r="A34" s="200">
        <v>1</v>
      </c>
      <c r="B34" s="65">
        <v>2</v>
      </c>
      <c r="C34" s="65">
        <v>3</v>
      </c>
      <c r="D34" s="65">
        <v>4</v>
      </c>
      <c r="E34" s="65">
        <v>5</v>
      </c>
      <c r="F34" s="65">
        <v>6</v>
      </c>
    </row>
    <row r="35" spans="1:6" s="77" customFormat="1" ht="19.5" hidden="1" thickBot="1">
      <c r="A35" s="200">
        <v>1</v>
      </c>
      <c r="B35" s="65"/>
      <c r="C35" s="80">
        <v>0</v>
      </c>
      <c r="D35" s="80">
        <v>0</v>
      </c>
      <c r="E35" s="80">
        <v>0</v>
      </c>
      <c r="F35" s="80">
        <f>C35*D35*E35</f>
        <v>0</v>
      </c>
    </row>
    <row r="36" spans="1:6" s="77" customFormat="1" ht="19.5" hidden="1" thickBot="1">
      <c r="A36" s="200"/>
      <c r="B36" s="81" t="s">
        <v>125</v>
      </c>
      <c r="C36" s="72" t="s">
        <v>126</v>
      </c>
      <c r="D36" s="72" t="s">
        <v>126</v>
      </c>
      <c r="E36" s="72" t="s">
        <v>126</v>
      </c>
      <c r="F36" s="82">
        <f>F35</f>
        <v>0</v>
      </c>
    </row>
    <row r="37" s="77" customFormat="1" ht="15" hidden="1"/>
    <row r="38" spans="1:6" s="77" customFormat="1" ht="18.75" hidden="1">
      <c r="A38" s="420" t="s">
        <v>171</v>
      </c>
      <c r="B38" s="420"/>
      <c r="C38" s="420"/>
      <c r="D38" s="420"/>
      <c r="E38" s="420"/>
      <c r="F38" s="420"/>
    </row>
    <row r="39" s="77" customFormat="1" ht="15" hidden="1"/>
    <row r="40" spans="1:6" s="77" customFormat="1" ht="124.5" customHeight="1" hidden="1" thickBot="1">
      <c r="A40" s="79" t="s">
        <v>0</v>
      </c>
      <c r="B40" s="203" t="s">
        <v>127</v>
      </c>
      <c r="C40" s="203" t="s">
        <v>132</v>
      </c>
      <c r="D40" s="203" t="s">
        <v>133</v>
      </c>
      <c r="E40" s="203" t="s">
        <v>134</v>
      </c>
      <c r="F40" s="203" t="s">
        <v>131</v>
      </c>
    </row>
    <row r="41" spans="1:6" s="77" customFormat="1" ht="19.5" hidden="1" thickBot="1">
      <c r="A41" s="200">
        <v>1</v>
      </c>
      <c r="B41" s="65">
        <v>2</v>
      </c>
      <c r="C41" s="65">
        <v>3</v>
      </c>
      <c r="D41" s="65">
        <v>4</v>
      </c>
      <c r="E41" s="65">
        <v>5</v>
      </c>
      <c r="F41" s="65">
        <v>6</v>
      </c>
    </row>
    <row r="42" spans="1:6" s="77" customFormat="1" ht="51.75" customHeight="1" hidden="1" thickBot="1">
      <c r="A42" s="200">
        <v>1</v>
      </c>
      <c r="B42" s="65" t="s">
        <v>290</v>
      </c>
      <c r="C42" s="65"/>
      <c r="D42" s="65"/>
      <c r="E42" s="80"/>
      <c r="F42" s="80">
        <f>C42*D42*E42</f>
        <v>0</v>
      </c>
    </row>
    <row r="43" spans="1:6" s="77" customFormat="1" ht="19.5" hidden="1" thickBot="1">
      <c r="A43" s="200"/>
      <c r="B43" s="81" t="s">
        <v>125</v>
      </c>
      <c r="C43" s="72" t="s">
        <v>126</v>
      </c>
      <c r="D43" s="72" t="s">
        <v>126</v>
      </c>
      <c r="E43" s="72" t="s">
        <v>126</v>
      </c>
      <c r="F43" s="83">
        <f>F42</f>
        <v>0</v>
      </c>
    </row>
    <row r="44" s="77" customFormat="1" ht="15" hidden="1"/>
    <row r="45" spans="1:5" s="77" customFormat="1" ht="80.25" customHeight="1" hidden="1">
      <c r="A45" s="420" t="s">
        <v>172</v>
      </c>
      <c r="B45" s="420"/>
      <c r="C45" s="420"/>
      <c r="D45" s="420"/>
      <c r="E45" s="420"/>
    </row>
    <row r="46" s="77" customFormat="1" ht="15" hidden="1"/>
    <row r="47" spans="1:4" s="77" customFormat="1" ht="144.75" customHeight="1" hidden="1" thickBot="1">
      <c r="A47" s="79" t="s">
        <v>0</v>
      </c>
      <c r="B47" s="203" t="s">
        <v>135</v>
      </c>
      <c r="C47" s="203" t="s">
        <v>136</v>
      </c>
      <c r="D47" s="203" t="s">
        <v>137</v>
      </c>
    </row>
    <row r="48" spans="1:4" s="77" customFormat="1" ht="19.5" hidden="1" thickBot="1">
      <c r="A48" s="200">
        <v>1</v>
      </c>
      <c r="B48" s="65">
        <v>2</v>
      </c>
      <c r="C48" s="65">
        <v>3</v>
      </c>
      <c r="D48" s="65">
        <v>4</v>
      </c>
    </row>
    <row r="49" spans="1:4" s="77" customFormat="1" ht="113.25" customHeight="1" hidden="1" thickBot="1">
      <c r="A49" s="200">
        <v>1</v>
      </c>
      <c r="B49" s="84" t="s">
        <v>138</v>
      </c>
      <c r="C49" s="65" t="s">
        <v>126</v>
      </c>
      <c r="D49" s="66"/>
    </row>
    <row r="50" spans="1:4" s="77" customFormat="1" ht="18.75" hidden="1">
      <c r="A50" s="421" t="s">
        <v>139</v>
      </c>
      <c r="B50" s="85" t="s">
        <v>22</v>
      </c>
      <c r="C50" s="421"/>
      <c r="D50" s="383"/>
    </row>
    <row r="51" spans="1:4" s="77" customFormat="1" ht="19.5" hidden="1" thickBot="1">
      <c r="A51" s="422"/>
      <c r="B51" s="86" t="s">
        <v>140</v>
      </c>
      <c r="C51" s="422"/>
      <c r="D51" s="384"/>
    </row>
    <row r="52" spans="1:4" s="77" customFormat="1" ht="19.5" hidden="1" thickBot="1">
      <c r="A52" s="200" t="s">
        <v>141</v>
      </c>
      <c r="B52" s="87" t="s">
        <v>142</v>
      </c>
      <c r="C52" s="65"/>
      <c r="D52" s="66"/>
    </row>
    <row r="53" spans="1:4" s="77" customFormat="1" ht="120.75" customHeight="1" hidden="1" thickBot="1">
      <c r="A53" s="200">
        <v>2</v>
      </c>
      <c r="B53" s="84" t="s">
        <v>143</v>
      </c>
      <c r="C53" s="65" t="s">
        <v>126</v>
      </c>
      <c r="D53" s="66"/>
    </row>
    <row r="54" spans="1:4" s="77" customFormat="1" ht="164.25" customHeight="1" hidden="1" thickBot="1">
      <c r="A54" s="200">
        <v>3</v>
      </c>
      <c r="B54" s="84" t="s">
        <v>144</v>
      </c>
      <c r="C54" s="66">
        <f>J28</f>
        <v>0</v>
      </c>
      <c r="D54" s="66">
        <f>C54*5.1%</f>
        <v>0</v>
      </c>
    </row>
    <row r="55" spans="1:4" s="77" customFormat="1" ht="19.5" hidden="1" thickBot="1">
      <c r="A55" s="200"/>
      <c r="B55" s="81" t="s">
        <v>125</v>
      </c>
      <c r="C55" s="72" t="s">
        <v>126</v>
      </c>
      <c r="D55" s="73">
        <f>D50+D53+D54</f>
        <v>0</v>
      </c>
    </row>
    <row r="56" s="77" customFormat="1" ht="15" hidden="1"/>
    <row r="57" spans="1:6" s="77" customFormat="1" ht="36" customHeight="1" hidden="1">
      <c r="A57" s="420" t="s">
        <v>173</v>
      </c>
      <c r="B57" s="420"/>
      <c r="C57" s="420"/>
      <c r="D57" s="420"/>
      <c r="E57" s="420"/>
      <c r="F57" s="420"/>
    </row>
    <row r="58" s="77" customFormat="1" ht="15" hidden="1"/>
    <row r="59" spans="1:6" s="77" customFormat="1" ht="18.75" hidden="1">
      <c r="A59" s="423" t="s">
        <v>174</v>
      </c>
      <c r="B59" s="423"/>
      <c r="C59" s="423"/>
      <c r="D59" s="423"/>
      <c r="E59" s="423"/>
      <c r="F59" s="423"/>
    </row>
    <row r="60" spans="1:6" s="77" customFormat="1" ht="18.75" hidden="1">
      <c r="A60" s="423" t="s">
        <v>175</v>
      </c>
      <c r="B60" s="423"/>
      <c r="C60" s="423"/>
      <c r="D60" s="423"/>
      <c r="E60" s="423"/>
      <c r="F60" s="423"/>
    </row>
    <row r="61" s="77" customFormat="1" ht="18.75" hidden="1">
      <c r="A61" s="88"/>
    </row>
    <row r="62" spans="1:5" s="77" customFormat="1" ht="108" customHeight="1" hidden="1" thickBot="1">
      <c r="A62" s="79" t="s">
        <v>0</v>
      </c>
      <c r="B62" s="203" t="s">
        <v>1</v>
      </c>
      <c r="C62" s="203" t="s">
        <v>145</v>
      </c>
      <c r="D62" s="203" t="s">
        <v>146</v>
      </c>
      <c r="E62" s="203" t="s">
        <v>147</v>
      </c>
    </row>
    <row r="63" spans="1:5" s="77" customFormat="1" ht="19.5" hidden="1" thickBot="1">
      <c r="A63" s="200">
        <v>1</v>
      </c>
      <c r="B63" s="65">
        <v>2</v>
      </c>
      <c r="C63" s="65">
        <v>3</v>
      </c>
      <c r="D63" s="65">
        <v>4</v>
      </c>
      <c r="E63" s="65">
        <v>5</v>
      </c>
    </row>
    <row r="64" spans="1:5" s="77" customFormat="1" ht="19.5" hidden="1" thickBot="1">
      <c r="A64" s="200"/>
      <c r="B64" s="65"/>
      <c r="C64" s="65"/>
      <c r="D64" s="65"/>
      <c r="E64" s="65"/>
    </row>
    <row r="65" spans="1:5" s="77" customFormat="1" ht="19.5" hidden="1" thickBot="1">
      <c r="A65" s="200"/>
      <c r="B65" s="81" t="s">
        <v>125</v>
      </c>
      <c r="C65" s="72" t="s">
        <v>126</v>
      </c>
      <c r="D65" s="72" t="s">
        <v>126</v>
      </c>
      <c r="E65" s="72"/>
    </row>
    <row r="66" s="77" customFormat="1" ht="15" hidden="1"/>
    <row r="67" s="77" customFormat="1" ht="15" hidden="1"/>
    <row r="68" spans="1:7" s="77" customFormat="1" ht="18.75" hidden="1">
      <c r="A68" s="424" t="s">
        <v>176</v>
      </c>
      <c r="B68" s="424"/>
      <c r="C68" s="424"/>
      <c r="D68" s="424"/>
      <c r="E68" s="424"/>
      <c r="F68" s="424"/>
      <c r="G68" s="424"/>
    </row>
    <row r="69" s="77" customFormat="1" ht="18.75" hidden="1">
      <c r="A69" s="204"/>
    </row>
    <row r="70" s="77" customFormat="1" ht="18.75" hidden="1">
      <c r="A70" s="88"/>
    </row>
    <row r="71" spans="1:7" s="77" customFormat="1" ht="18.75" hidden="1">
      <c r="A71" s="423" t="s">
        <v>291</v>
      </c>
      <c r="B71" s="423"/>
      <c r="C71" s="423"/>
      <c r="D71" s="423"/>
      <c r="E71" s="423"/>
      <c r="F71" s="423"/>
      <c r="G71" s="423"/>
    </row>
    <row r="72" spans="1:7" s="77" customFormat="1" ht="18.75" hidden="1">
      <c r="A72" s="423" t="s">
        <v>292</v>
      </c>
      <c r="B72" s="423"/>
      <c r="C72" s="423"/>
      <c r="D72" s="423"/>
      <c r="E72" s="423"/>
      <c r="F72" s="423"/>
      <c r="G72" s="423"/>
    </row>
    <row r="73" s="77" customFormat="1" ht="18.75" hidden="1">
      <c r="A73" s="88"/>
    </row>
    <row r="74" spans="1:5" s="77" customFormat="1" ht="141.75" customHeight="1" hidden="1" thickBot="1">
      <c r="A74" s="79" t="s">
        <v>0</v>
      </c>
      <c r="B74" s="203" t="s">
        <v>127</v>
      </c>
      <c r="C74" s="203" t="s">
        <v>148</v>
      </c>
      <c r="D74" s="203" t="s">
        <v>149</v>
      </c>
      <c r="E74" s="203" t="s">
        <v>150</v>
      </c>
    </row>
    <row r="75" spans="1:5" s="77" customFormat="1" ht="19.5" hidden="1" thickBot="1">
      <c r="A75" s="200">
        <v>1</v>
      </c>
      <c r="B75" s="65">
        <v>2</v>
      </c>
      <c r="C75" s="65">
        <v>3</v>
      </c>
      <c r="D75" s="65">
        <v>4</v>
      </c>
      <c r="E75" s="65">
        <v>5</v>
      </c>
    </row>
    <row r="76" spans="1:8" s="77" customFormat="1" ht="19.5" hidden="1" thickBot="1">
      <c r="A76" s="200">
        <v>1</v>
      </c>
      <c r="B76" s="65" t="s">
        <v>293</v>
      </c>
      <c r="C76" s="89"/>
      <c r="D76" s="89"/>
      <c r="E76" s="89"/>
      <c r="H76" s="90"/>
    </row>
    <row r="77" spans="1:5" s="77" customFormat="1" ht="27" customHeight="1" hidden="1" thickBot="1">
      <c r="A77" s="200">
        <v>2</v>
      </c>
      <c r="B77" s="65" t="s">
        <v>294</v>
      </c>
      <c r="C77" s="89"/>
      <c r="D77" s="89"/>
      <c r="E77" s="89"/>
    </row>
    <row r="78" spans="1:5" s="77" customFormat="1" ht="19.5" hidden="1" thickBot="1">
      <c r="A78" s="200"/>
      <c r="B78" s="81" t="s">
        <v>125</v>
      </c>
      <c r="C78" s="83"/>
      <c r="D78" s="83" t="s">
        <v>126</v>
      </c>
      <c r="E78" s="83">
        <f>E77+E76</f>
        <v>0</v>
      </c>
    </row>
    <row r="79" s="77" customFormat="1" ht="15" hidden="1"/>
    <row r="80" spans="1:9" s="77" customFormat="1" ht="18.75">
      <c r="A80" s="424" t="s">
        <v>328</v>
      </c>
      <c r="B80" s="424"/>
      <c r="C80" s="424"/>
      <c r="D80" s="424"/>
      <c r="E80" s="424"/>
      <c r="F80" s="424"/>
      <c r="G80" s="424"/>
      <c r="H80" s="424"/>
      <c r="I80" s="424"/>
    </row>
    <row r="81" s="77" customFormat="1" ht="2.25" customHeight="1">
      <c r="A81" s="204"/>
    </row>
    <row r="82" s="77" customFormat="1" ht="18.75">
      <c r="A82" s="91" t="s">
        <v>296</v>
      </c>
    </row>
    <row r="83" spans="1:7" s="77" customFormat="1" ht="18.75">
      <c r="A83" s="205" t="s">
        <v>352</v>
      </c>
      <c r="B83" s="205"/>
      <c r="C83" s="205"/>
      <c r="D83" s="205"/>
      <c r="E83" s="205"/>
      <c r="F83" s="205"/>
      <c r="G83" s="205"/>
    </row>
    <row r="84" spans="1:6" s="77" customFormat="1" ht="18.75" customHeight="1" hidden="1" thickBot="1">
      <c r="A84" s="424" t="s">
        <v>360</v>
      </c>
      <c r="B84" s="424"/>
      <c r="C84" s="424"/>
      <c r="D84" s="424"/>
      <c r="E84" s="424"/>
      <c r="F84" s="424"/>
    </row>
    <row r="85" s="77" customFormat="1" ht="15.75" hidden="1" thickBot="1"/>
    <row r="86" spans="1:7" s="77" customFormat="1" ht="44.25" customHeight="1" hidden="1" thickBot="1">
      <c r="A86" s="79" t="s">
        <v>0</v>
      </c>
      <c r="B86" s="157" t="s">
        <v>1</v>
      </c>
      <c r="C86" s="157" t="s">
        <v>301</v>
      </c>
      <c r="D86" s="157" t="s">
        <v>302</v>
      </c>
      <c r="E86" s="157" t="s">
        <v>157</v>
      </c>
      <c r="F86" s="157" t="s">
        <v>158</v>
      </c>
      <c r="G86" s="157" t="s">
        <v>401</v>
      </c>
    </row>
    <row r="87" spans="1:7" s="77" customFormat="1" ht="19.5" hidden="1" thickBot="1">
      <c r="A87" s="200">
        <v>1</v>
      </c>
      <c r="B87" s="65">
        <v>2</v>
      </c>
      <c r="C87" s="65">
        <v>3</v>
      </c>
      <c r="D87" s="65">
        <v>4</v>
      </c>
      <c r="E87" s="65">
        <v>5</v>
      </c>
      <c r="F87" s="65">
        <v>6</v>
      </c>
      <c r="G87" s="65">
        <v>7</v>
      </c>
    </row>
    <row r="88" spans="1:11" s="77" customFormat="1" ht="23.25" customHeight="1" hidden="1" thickBot="1">
      <c r="A88" s="200">
        <v>1</v>
      </c>
      <c r="B88" s="200" t="s">
        <v>303</v>
      </c>
      <c r="C88" s="80" t="s">
        <v>304</v>
      </c>
      <c r="D88" s="80">
        <v>0.336845736281133</v>
      </c>
      <c r="E88" s="80">
        <v>6103.03108686</v>
      </c>
      <c r="F88" s="65"/>
      <c r="G88" s="97"/>
      <c r="K88" s="131"/>
    </row>
    <row r="89" spans="1:11" s="77" customFormat="1" ht="23.25" customHeight="1" hidden="1" thickBot="1">
      <c r="A89" s="200">
        <v>2</v>
      </c>
      <c r="B89" s="200" t="s">
        <v>306</v>
      </c>
      <c r="C89" s="80" t="s">
        <v>331</v>
      </c>
      <c r="D89" s="80">
        <v>481.9498164014688</v>
      </c>
      <c r="E89" s="80">
        <v>8.17</v>
      </c>
      <c r="F89" s="65"/>
      <c r="G89" s="97"/>
      <c r="K89" s="131"/>
    </row>
    <row r="90" spans="1:11" s="77" customFormat="1" ht="23.25" customHeight="1" hidden="1" thickBot="1">
      <c r="A90" s="200">
        <v>3</v>
      </c>
      <c r="B90" s="200" t="s">
        <v>307</v>
      </c>
      <c r="C90" s="80" t="s">
        <v>353</v>
      </c>
      <c r="D90" s="80">
        <v>2.2272189349112423</v>
      </c>
      <c r="E90" s="80">
        <v>50.7</v>
      </c>
      <c r="F90" s="65"/>
      <c r="G90" s="97"/>
      <c r="K90" s="131"/>
    </row>
    <row r="91" spans="1:12" s="77" customFormat="1" ht="23.25" customHeight="1" hidden="1" thickBot="1">
      <c r="A91" s="200">
        <v>4</v>
      </c>
      <c r="B91" s="200" t="s">
        <v>309</v>
      </c>
      <c r="C91" s="80" t="s">
        <v>353</v>
      </c>
      <c r="D91" s="80">
        <v>2.2272851296043656</v>
      </c>
      <c r="E91" s="80">
        <v>36.65</v>
      </c>
      <c r="F91" s="65"/>
      <c r="G91" s="97"/>
      <c r="K91" s="131"/>
      <c r="L91" s="132"/>
    </row>
    <row r="92" spans="1:11" s="77" customFormat="1" ht="47.25" customHeight="1" hidden="1" thickBot="1">
      <c r="A92" s="200">
        <v>6</v>
      </c>
      <c r="B92" s="200" t="s">
        <v>310</v>
      </c>
      <c r="C92" s="80" t="s">
        <v>353</v>
      </c>
      <c r="D92" s="80"/>
      <c r="E92" s="80"/>
      <c r="F92" s="65"/>
      <c r="G92" s="97">
        <f>D92*E92</f>
        <v>0</v>
      </c>
      <c r="K92" s="133"/>
    </row>
    <row r="93" spans="1:7" s="77" customFormat="1" ht="19.5" hidden="1" thickBot="1">
      <c r="A93" s="200"/>
      <c r="B93" s="81" t="s">
        <v>125</v>
      </c>
      <c r="C93" s="72" t="s">
        <v>126</v>
      </c>
      <c r="D93" s="72" t="s">
        <v>126</v>
      </c>
      <c r="E93" s="72" t="s">
        <v>126</v>
      </c>
      <c r="F93" s="72" t="s">
        <v>126</v>
      </c>
      <c r="G93" s="92">
        <f>SUM(G88:G92)</f>
        <v>0</v>
      </c>
    </row>
    <row r="94" s="77" customFormat="1" ht="11.25" customHeight="1" hidden="1"/>
    <row r="95" s="77" customFormat="1" ht="15" hidden="1">
      <c r="K95" s="90"/>
    </row>
    <row r="96" s="77" customFormat="1" ht="15" hidden="1"/>
    <row r="97" spans="1:5" s="134" customFormat="1" ht="27" customHeight="1" hidden="1">
      <c r="A97" s="408" t="s">
        <v>361</v>
      </c>
      <c r="B97" s="408"/>
      <c r="C97" s="408"/>
      <c r="D97" s="408"/>
      <c r="E97" s="408"/>
    </row>
    <row r="98" s="134" customFormat="1" ht="19.5" hidden="1" thickBot="1">
      <c r="A98" s="135"/>
    </row>
    <row r="99" spans="1:5" s="134" customFormat="1" ht="38.25" hidden="1" thickBot="1">
      <c r="A99" s="136" t="s">
        <v>0</v>
      </c>
      <c r="B99" s="137" t="s">
        <v>127</v>
      </c>
      <c r="C99" s="137" t="s">
        <v>163</v>
      </c>
      <c r="D99" s="137" t="s">
        <v>164</v>
      </c>
      <c r="E99" s="137" t="s">
        <v>165</v>
      </c>
    </row>
    <row r="100" spans="1:5" s="134" customFormat="1" ht="19.5" hidden="1" thickBot="1">
      <c r="A100" s="199">
        <v>1</v>
      </c>
      <c r="B100" s="112">
        <v>2</v>
      </c>
      <c r="C100" s="112">
        <v>3</v>
      </c>
      <c r="D100" s="112">
        <v>4</v>
      </c>
      <c r="E100" s="112">
        <v>5</v>
      </c>
    </row>
    <row r="101" spans="1:5" s="134" customFormat="1" ht="19.5" hidden="1" thickBot="1">
      <c r="A101" s="199">
        <v>1</v>
      </c>
      <c r="B101" s="138" t="s">
        <v>313</v>
      </c>
      <c r="C101" s="112"/>
      <c r="D101" s="112">
        <v>12</v>
      </c>
      <c r="E101" s="139"/>
    </row>
    <row r="102" spans="1:5" s="134" customFormat="1" ht="19.5" hidden="1" thickBot="1">
      <c r="A102" s="199">
        <v>2</v>
      </c>
      <c r="B102" s="138" t="s">
        <v>346</v>
      </c>
      <c r="C102" s="112"/>
      <c r="D102" s="112">
        <v>12</v>
      </c>
      <c r="E102" s="139"/>
    </row>
    <row r="103" spans="1:5" s="134" customFormat="1" ht="19.5" hidden="1" thickBot="1">
      <c r="A103" s="199">
        <v>3</v>
      </c>
      <c r="B103" s="138" t="s">
        <v>314</v>
      </c>
      <c r="C103" s="112"/>
      <c r="D103" s="112">
        <v>12</v>
      </c>
      <c r="E103" s="139"/>
    </row>
    <row r="104" spans="1:5" s="134" customFormat="1" ht="38.25" hidden="1" thickBot="1">
      <c r="A104" s="199">
        <v>4</v>
      </c>
      <c r="B104" s="138" t="s">
        <v>329</v>
      </c>
      <c r="C104" s="112"/>
      <c r="D104" s="112">
        <v>12</v>
      </c>
      <c r="E104" s="139"/>
    </row>
    <row r="105" spans="1:5" s="134" customFormat="1" ht="24.75" customHeight="1" hidden="1" thickBot="1">
      <c r="A105" s="199">
        <v>5</v>
      </c>
      <c r="B105" s="138" t="s">
        <v>315</v>
      </c>
      <c r="C105" s="112"/>
      <c r="D105" s="112">
        <v>12</v>
      </c>
      <c r="E105" s="139"/>
    </row>
    <row r="106" spans="1:5" s="134" customFormat="1" ht="38.25" hidden="1" thickBot="1">
      <c r="A106" s="199">
        <v>6</v>
      </c>
      <c r="B106" s="138" t="s">
        <v>316</v>
      </c>
      <c r="C106" s="112"/>
      <c r="D106" s="112">
        <v>12</v>
      </c>
      <c r="E106" s="139"/>
    </row>
    <row r="107" spans="1:5" s="134" customFormat="1" ht="19.5" hidden="1" thickBot="1">
      <c r="A107" s="199">
        <v>7</v>
      </c>
      <c r="B107" s="138" t="s">
        <v>317</v>
      </c>
      <c r="C107" s="112"/>
      <c r="D107" s="112"/>
      <c r="E107" s="139"/>
    </row>
    <row r="108" spans="1:5" s="134" customFormat="1" ht="38.25" hidden="1" thickBot="1">
      <c r="A108" s="199">
        <v>8</v>
      </c>
      <c r="B108" s="138" t="s">
        <v>330</v>
      </c>
      <c r="C108" s="112"/>
      <c r="D108" s="112">
        <v>4</v>
      </c>
      <c r="E108" s="139"/>
    </row>
    <row r="109" spans="1:5" s="134" customFormat="1" ht="36" customHeight="1" hidden="1" thickBot="1">
      <c r="A109" s="199">
        <v>1</v>
      </c>
      <c r="B109" s="138" t="s">
        <v>362</v>
      </c>
      <c r="C109" s="112"/>
      <c r="D109" s="112"/>
      <c r="E109" s="139">
        <v>0</v>
      </c>
    </row>
    <row r="110" spans="1:5" s="134" customFormat="1" ht="73.5" customHeight="1" hidden="1" thickBot="1">
      <c r="A110" s="199">
        <v>2</v>
      </c>
      <c r="B110" s="138" t="s">
        <v>363</v>
      </c>
      <c r="C110" s="112"/>
      <c r="D110" s="112"/>
      <c r="E110" s="139">
        <v>0</v>
      </c>
    </row>
    <row r="111" spans="1:5" s="134" customFormat="1" ht="19.5" hidden="1" thickBot="1">
      <c r="A111" s="199">
        <v>11</v>
      </c>
      <c r="B111" s="138" t="s">
        <v>364</v>
      </c>
      <c r="C111" s="112"/>
      <c r="D111" s="112">
        <v>12</v>
      </c>
      <c r="E111" s="139"/>
    </row>
    <row r="112" spans="1:5" s="134" customFormat="1" ht="19.5" hidden="1" thickBot="1">
      <c r="A112" s="199">
        <v>12</v>
      </c>
      <c r="B112" s="138" t="s">
        <v>365</v>
      </c>
      <c r="C112" s="112"/>
      <c r="D112" s="112"/>
      <c r="E112" s="139"/>
    </row>
    <row r="113" spans="1:5" s="134" customFormat="1" ht="19.5" hidden="1" thickBot="1">
      <c r="A113" s="199">
        <v>13</v>
      </c>
      <c r="B113" s="138" t="s">
        <v>319</v>
      </c>
      <c r="C113" s="112"/>
      <c r="D113" s="112"/>
      <c r="E113" s="139"/>
    </row>
    <row r="114" spans="1:5" s="134" customFormat="1" ht="19.5" hidden="1" thickBot="1">
      <c r="A114" s="199">
        <v>14</v>
      </c>
      <c r="B114" s="138" t="s">
        <v>366</v>
      </c>
      <c r="C114" s="112"/>
      <c r="D114" s="112"/>
      <c r="E114" s="139"/>
    </row>
    <row r="115" spans="1:5" s="134" customFormat="1" ht="38.25" hidden="1" thickBot="1">
      <c r="A115" s="199">
        <v>15</v>
      </c>
      <c r="B115" s="138" t="s">
        <v>320</v>
      </c>
      <c r="C115" s="112"/>
      <c r="D115" s="112">
        <v>1</v>
      </c>
      <c r="E115" s="139"/>
    </row>
    <row r="116" spans="1:6" s="134" customFormat="1" ht="19.5" hidden="1" thickBot="1">
      <c r="A116" s="199"/>
      <c r="B116" s="140" t="s">
        <v>125</v>
      </c>
      <c r="C116" s="141" t="s">
        <v>126</v>
      </c>
      <c r="D116" s="141" t="s">
        <v>126</v>
      </c>
      <c r="E116" s="142">
        <f>SUM(E101:E115)</f>
        <v>0</v>
      </c>
      <c r="F116" s="143"/>
    </row>
    <row r="117" s="77" customFormat="1" ht="12.75" customHeight="1"/>
    <row r="118" spans="1:7" s="134" customFormat="1" ht="18.75" hidden="1">
      <c r="A118" s="402" t="s">
        <v>176</v>
      </c>
      <c r="B118" s="402"/>
      <c r="C118" s="402"/>
      <c r="D118" s="402"/>
      <c r="E118" s="402"/>
      <c r="F118" s="402"/>
      <c r="G118" s="402"/>
    </row>
    <row r="119" s="134" customFormat="1" ht="13.5" customHeight="1" hidden="1">
      <c r="A119" s="181"/>
    </row>
    <row r="120" s="134" customFormat="1" ht="18.75" hidden="1">
      <c r="A120" s="135"/>
    </row>
    <row r="121" spans="1:7" s="134" customFormat="1" ht="18.75" hidden="1">
      <c r="A121" s="411" t="s">
        <v>392</v>
      </c>
      <c r="B121" s="411"/>
      <c r="C121" s="411"/>
      <c r="D121" s="411"/>
      <c r="E121" s="411"/>
      <c r="F121" s="411"/>
      <c r="G121" s="411"/>
    </row>
    <row r="122" spans="1:7" s="134" customFormat="1" ht="18.75" hidden="1">
      <c r="A122" s="411" t="s">
        <v>292</v>
      </c>
      <c r="B122" s="411"/>
      <c r="C122" s="411"/>
      <c r="D122" s="411"/>
      <c r="E122" s="411"/>
      <c r="F122" s="411"/>
      <c r="G122" s="411"/>
    </row>
    <row r="123" s="134" customFormat="1" ht="0.75" customHeight="1" hidden="1" thickBot="1">
      <c r="A123" s="135"/>
    </row>
    <row r="124" spans="1:5" s="134" customFormat="1" ht="72.75" customHeight="1" hidden="1" thickBot="1">
      <c r="A124" s="136" t="s">
        <v>0</v>
      </c>
      <c r="B124" s="177" t="s">
        <v>127</v>
      </c>
      <c r="C124" s="177" t="s">
        <v>148</v>
      </c>
      <c r="D124" s="177" t="s">
        <v>149</v>
      </c>
      <c r="E124" s="177" t="s">
        <v>398</v>
      </c>
    </row>
    <row r="125" spans="1:5" s="134" customFormat="1" ht="19.5" hidden="1" thickBot="1">
      <c r="A125" s="199">
        <v>1</v>
      </c>
      <c r="B125" s="112">
        <v>2</v>
      </c>
      <c r="C125" s="112">
        <v>3</v>
      </c>
      <c r="D125" s="112">
        <v>4</v>
      </c>
      <c r="E125" s="112">
        <v>5</v>
      </c>
    </row>
    <row r="126" spans="1:24" s="134" customFormat="1" ht="19.5" hidden="1" thickBot="1">
      <c r="A126" s="199">
        <v>1</v>
      </c>
      <c r="B126" s="112" t="s">
        <v>293</v>
      </c>
      <c r="C126" s="139">
        <v>39828025.00000001</v>
      </c>
      <c r="D126" s="139">
        <v>2.2</v>
      </c>
      <c r="E126" s="182"/>
      <c r="H126" s="183"/>
      <c r="X126" s="134">
        <f>105614.75/0.022</f>
        <v>4800670.454545455</v>
      </c>
    </row>
    <row r="127" spans="1:5" s="134" customFormat="1" ht="27" customHeight="1" hidden="1" thickBot="1">
      <c r="A127" s="199">
        <v>2</v>
      </c>
      <c r="B127" s="112" t="s">
        <v>294</v>
      </c>
      <c r="C127" s="139">
        <v>680547.9266666666</v>
      </c>
      <c r="D127" s="139">
        <v>1.5</v>
      </c>
      <c r="E127" s="182"/>
    </row>
    <row r="128" spans="1:5" s="134" customFormat="1" ht="27" customHeight="1" hidden="1" thickBot="1">
      <c r="A128" s="199">
        <v>3</v>
      </c>
      <c r="B128" s="112" t="s">
        <v>382</v>
      </c>
      <c r="C128" s="139">
        <v>10080</v>
      </c>
      <c r="D128" s="139"/>
      <c r="E128" s="182"/>
    </row>
    <row r="129" spans="1:5" s="134" customFormat="1" ht="27" customHeight="1" hidden="1" thickBot="1">
      <c r="A129" s="199">
        <v>4</v>
      </c>
      <c r="B129" s="112" t="s">
        <v>382</v>
      </c>
      <c r="C129" s="139">
        <v>2520</v>
      </c>
      <c r="D129" s="139"/>
      <c r="E129" s="182"/>
    </row>
    <row r="130" spans="1:5" s="134" customFormat="1" ht="27" customHeight="1" hidden="1" thickBot="1">
      <c r="A130" s="199">
        <v>5</v>
      </c>
      <c r="B130" s="112" t="s">
        <v>406</v>
      </c>
      <c r="C130" s="139"/>
      <c r="D130" s="139"/>
      <c r="E130" s="182"/>
    </row>
    <row r="131" spans="1:5" s="134" customFormat="1" ht="19.5" hidden="1" thickBot="1">
      <c r="A131" s="199"/>
      <c r="B131" s="140" t="s">
        <v>125</v>
      </c>
      <c r="C131" s="142"/>
      <c r="D131" s="142" t="s">
        <v>126</v>
      </c>
      <c r="E131" s="142">
        <f>SUM(E126:E130)</f>
        <v>0</v>
      </c>
    </row>
    <row r="132" s="77" customFormat="1" ht="15" hidden="1"/>
    <row r="133" spans="1:5" s="134" customFormat="1" ht="24" customHeight="1" hidden="1">
      <c r="A133" s="408" t="s">
        <v>321</v>
      </c>
      <c r="B133" s="408"/>
      <c r="C133" s="408"/>
      <c r="D133" s="408"/>
      <c r="E133" s="408"/>
    </row>
    <row r="134" s="134" customFormat="1" ht="8.25" customHeight="1" hidden="1" thickBot="1">
      <c r="A134" s="135"/>
    </row>
    <row r="135" spans="1:4" s="134" customFormat="1" ht="38.25" hidden="1" thickBot="1">
      <c r="A135" s="136" t="s">
        <v>0</v>
      </c>
      <c r="B135" s="137" t="s">
        <v>127</v>
      </c>
      <c r="C135" s="137" t="s">
        <v>166</v>
      </c>
      <c r="D135" s="137" t="s">
        <v>167</v>
      </c>
    </row>
    <row r="136" spans="1:4" s="134" customFormat="1" ht="19.5" hidden="1" thickBot="1">
      <c r="A136" s="199">
        <v>1</v>
      </c>
      <c r="B136" s="112">
        <v>2</v>
      </c>
      <c r="C136" s="112">
        <v>3</v>
      </c>
      <c r="D136" s="112">
        <v>4</v>
      </c>
    </row>
    <row r="137" spans="1:4" s="134" customFormat="1" ht="45" customHeight="1" hidden="1" thickBot="1">
      <c r="A137" s="199">
        <v>1</v>
      </c>
      <c r="B137" s="138" t="s">
        <v>405</v>
      </c>
      <c r="C137" s="112">
        <v>1</v>
      </c>
      <c r="D137" s="139"/>
    </row>
    <row r="138" spans="1:5" s="134" customFormat="1" ht="19.5" hidden="1" thickBot="1">
      <c r="A138" s="199"/>
      <c r="B138" s="140" t="s">
        <v>125</v>
      </c>
      <c r="C138" s="141" t="s">
        <v>126</v>
      </c>
      <c r="D138" s="142">
        <f>SUM(D137:D137)</f>
        <v>0</v>
      </c>
      <c r="E138" s="143"/>
    </row>
    <row r="139" s="77" customFormat="1" ht="15" hidden="1"/>
    <row r="140" spans="1:6" s="77" customFormat="1" ht="34.5" customHeight="1">
      <c r="A140" s="420" t="s">
        <v>423</v>
      </c>
      <c r="B140" s="420"/>
      <c r="C140" s="420"/>
      <c r="D140" s="420"/>
      <c r="E140" s="420"/>
      <c r="F140" s="420"/>
    </row>
    <row r="141" s="77" customFormat="1" ht="15.75" thickBot="1"/>
    <row r="142" spans="1:5" s="77" customFormat="1" ht="32.25" thickBot="1">
      <c r="A142" s="79" t="s">
        <v>0</v>
      </c>
      <c r="B142" s="157" t="s">
        <v>127</v>
      </c>
      <c r="C142" s="157" t="s">
        <v>354</v>
      </c>
      <c r="D142" s="157" t="s">
        <v>168</v>
      </c>
      <c r="E142" s="157" t="s">
        <v>402</v>
      </c>
    </row>
    <row r="143" spans="1:5" s="77" customFormat="1" ht="19.5" thickBot="1">
      <c r="A143" s="200"/>
      <c r="B143" s="65">
        <v>1</v>
      </c>
      <c r="C143" s="65">
        <v>2</v>
      </c>
      <c r="D143" s="65">
        <v>3</v>
      </c>
      <c r="E143" s="65">
        <v>4</v>
      </c>
    </row>
    <row r="144" spans="1:5" s="77" customFormat="1" ht="29.25" customHeight="1" thickBot="1">
      <c r="A144" s="200">
        <v>1</v>
      </c>
      <c r="B144" s="93" t="s">
        <v>326</v>
      </c>
      <c r="C144" s="65"/>
      <c r="D144" s="89"/>
      <c r="E144" s="89">
        <f>SUM(E145:E146)</f>
        <v>426698.9999996949</v>
      </c>
    </row>
    <row r="145" spans="1:5" s="77" customFormat="1" ht="29.25" customHeight="1" thickBot="1">
      <c r="A145" s="200" t="s">
        <v>139</v>
      </c>
      <c r="B145" s="93" t="s">
        <v>355</v>
      </c>
      <c r="C145" s="251">
        <f>2013.395933-77.46289911</f>
        <v>1935.93303389</v>
      </c>
      <c r="D145" s="89">
        <v>220.41</v>
      </c>
      <c r="E145" s="89">
        <f>C145*D145</f>
        <v>426698.9999996949</v>
      </c>
    </row>
    <row r="146" spans="1:5" s="77" customFormat="1" ht="29.25" customHeight="1" thickBot="1">
      <c r="A146" s="200">
        <v>2</v>
      </c>
      <c r="B146" s="93" t="s">
        <v>356</v>
      </c>
      <c r="C146" s="65">
        <v>0</v>
      </c>
      <c r="D146" s="89">
        <f>D145/2</f>
        <v>110.205</v>
      </c>
      <c r="E146" s="89">
        <f>C146*D146</f>
        <v>0</v>
      </c>
    </row>
    <row r="147" spans="1:5" s="77" customFormat="1" ht="29.25" customHeight="1" thickBot="1">
      <c r="A147" s="198"/>
      <c r="B147" s="94" t="s">
        <v>327</v>
      </c>
      <c r="C147" s="72"/>
      <c r="D147" s="83"/>
      <c r="E147" s="83">
        <f>E144</f>
        <v>426698.9999996949</v>
      </c>
    </row>
    <row r="148" ht="3" customHeight="1"/>
    <row r="149" ht="15" hidden="1"/>
    <row r="150" spans="1:9" s="77" customFormat="1" ht="29.25" customHeight="1" thickBot="1">
      <c r="A150" s="420" t="s">
        <v>424</v>
      </c>
      <c r="B150" s="420"/>
      <c r="C150" s="420"/>
      <c r="D150" s="420"/>
      <c r="E150" s="420"/>
      <c r="F150" s="420"/>
      <c r="G150" s="420"/>
      <c r="H150" s="420"/>
      <c r="I150" s="420"/>
    </row>
    <row r="151" s="77" customFormat="1" ht="15.75" hidden="1" thickBot="1"/>
    <row r="152" spans="1:8" s="77" customFormat="1" ht="30.75" customHeight="1" thickBot="1">
      <c r="A152" s="421" t="s">
        <v>0</v>
      </c>
      <c r="B152" s="144" t="s">
        <v>127</v>
      </c>
      <c r="C152" s="426" t="s">
        <v>367</v>
      </c>
      <c r="D152" s="427"/>
      <c r="E152" s="426" t="s">
        <v>168</v>
      </c>
      <c r="F152" s="427"/>
      <c r="G152" s="421" t="s">
        <v>368</v>
      </c>
      <c r="H152" s="428" t="s">
        <v>403</v>
      </c>
    </row>
    <row r="153" spans="1:8" s="77" customFormat="1" ht="19.5" thickBot="1">
      <c r="A153" s="425"/>
      <c r="B153" s="64"/>
      <c r="C153" s="65" t="s">
        <v>369</v>
      </c>
      <c r="D153" s="65" t="s">
        <v>370</v>
      </c>
      <c r="E153" s="65" t="s">
        <v>369</v>
      </c>
      <c r="F153" s="65" t="s">
        <v>370</v>
      </c>
      <c r="G153" s="422"/>
      <c r="H153" s="429"/>
    </row>
    <row r="154" spans="1:8" s="77" customFormat="1" ht="19.5" thickBot="1">
      <c r="A154" s="422"/>
      <c r="B154" s="65">
        <v>1</v>
      </c>
      <c r="C154" s="65">
        <v>2</v>
      </c>
      <c r="D154" s="65">
        <v>3</v>
      </c>
      <c r="E154" s="65">
        <v>4</v>
      </c>
      <c r="F154" s="65">
        <v>5</v>
      </c>
      <c r="G154" s="65">
        <v>6</v>
      </c>
      <c r="H154" s="200">
        <v>7</v>
      </c>
    </row>
    <row r="155" spans="1:8" s="77" customFormat="1" ht="38.25" customHeight="1" thickBot="1">
      <c r="A155" s="200">
        <v>1</v>
      </c>
      <c r="B155" s="93" t="s">
        <v>391</v>
      </c>
      <c r="C155" s="65"/>
      <c r="D155" s="65"/>
      <c r="E155" s="89"/>
      <c r="F155" s="89"/>
      <c r="G155" s="89"/>
      <c r="H155" s="154">
        <f>SUM(H156:H159)</f>
        <v>4868660.610000303</v>
      </c>
    </row>
    <row r="156" spans="1:8" s="77" customFormat="1" ht="27.75" customHeight="1" thickBot="1">
      <c r="A156" s="200" t="s">
        <v>139</v>
      </c>
      <c r="B156" s="93" t="s">
        <v>371</v>
      </c>
      <c r="C156" s="112">
        <v>133</v>
      </c>
      <c r="D156" s="112">
        <v>41</v>
      </c>
      <c r="E156" s="89">
        <v>63</v>
      </c>
      <c r="F156" s="89">
        <v>73</v>
      </c>
      <c r="G156" s="254">
        <v>150</v>
      </c>
      <c r="H156" s="253">
        <f>((C156*E156)+(D156*F156))*150</f>
        <v>1705800</v>
      </c>
    </row>
    <row r="157" spans="1:8" s="77" customFormat="1" ht="26.25" customHeight="1" thickBot="1">
      <c r="A157" s="145" t="s">
        <v>141</v>
      </c>
      <c r="B157" s="93" t="s">
        <v>372</v>
      </c>
      <c r="C157" s="251">
        <f>131.5660333+6.805489694674</f>
        <v>138.371522994674</v>
      </c>
      <c r="D157" s="112">
        <v>36</v>
      </c>
      <c r="E157" s="89">
        <v>93.5</v>
      </c>
      <c r="F157" s="89">
        <v>113</v>
      </c>
      <c r="G157" s="254">
        <v>150</v>
      </c>
      <c r="H157" s="253">
        <f>((C157*E157)+(D157*F157))*150</f>
        <v>2550860.610000303</v>
      </c>
    </row>
    <row r="158" spans="1:8" s="77" customFormat="1" ht="27.75" customHeight="1" thickBot="1">
      <c r="A158" s="145" t="s">
        <v>373</v>
      </c>
      <c r="B158" s="93" t="s">
        <v>374</v>
      </c>
      <c r="C158" s="112">
        <v>66</v>
      </c>
      <c r="D158" s="112">
        <v>15</v>
      </c>
      <c r="E158" s="89">
        <v>50</v>
      </c>
      <c r="F158" s="89">
        <v>52</v>
      </c>
      <c r="G158" s="254">
        <v>150</v>
      </c>
      <c r="H158" s="253">
        <f>((C158*E158)+(D158*F158))*150</f>
        <v>612000</v>
      </c>
    </row>
    <row r="159" spans="1:8" s="77" customFormat="1" ht="37.5" customHeight="1" hidden="1" thickBot="1">
      <c r="A159" s="145" t="s">
        <v>375</v>
      </c>
      <c r="B159" s="93" t="s">
        <v>376</v>
      </c>
      <c r="C159" s="112">
        <v>41</v>
      </c>
      <c r="D159" s="112">
        <v>0</v>
      </c>
      <c r="E159" s="139">
        <v>0</v>
      </c>
      <c r="F159" s="139">
        <v>0</v>
      </c>
      <c r="G159" s="254">
        <v>67</v>
      </c>
      <c r="H159" s="253">
        <f>(C159*E159*F159)+(D159*E159*G159)</f>
        <v>0</v>
      </c>
    </row>
    <row r="160" spans="1:8" s="77" customFormat="1" ht="38.25" customHeight="1" thickBot="1">
      <c r="A160" s="145" t="s">
        <v>393</v>
      </c>
      <c r="B160" s="93" t="s">
        <v>469</v>
      </c>
      <c r="C160" s="112"/>
      <c r="D160" s="112"/>
      <c r="E160" s="139"/>
      <c r="F160" s="139"/>
      <c r="G160" s="254"/>
      <c r="H160" s="253">
        <v>982.85</v>
      </c>
    </row>
    <row r="161" spans="1:8" s="77" customFormat="1" ht="29.25" customHeight="1" thickBot="1">
      <c r="A161" s="146"/>
      <c r="B161" s="94" t="s">
        <v>327</v>
      </c>
      <c r="C161" s="72"/>
      <c r="D161" s="72"/>
      <c r="E161" s="83"/>
      <c r="F161" s="83"/>
      <c r="G161" s="83"/>
      <c r="H161" s="155">
        <f>H155+H160</f>
        <v>4869643.460000303</v>
      </c>
    </row>
    <row r="164" spans="7:9" ht="15">
      <c r="G164" s="320">
        <f>E147+H161</f>
        <v>5296342.459999997</v>
      </c>
      <c r="H164" s="320">
        <f>5296342.46-G164</f>
        <v>0</v>
      </c>
      <c r="I164" s="322">
        <f>H164/E157/G157</f>
        <v>0</v>
      </c>
    </row>
  </sheetData>
  <sheetProtection/>
  <mergeCells count="42">
    <mergeCell ref="A150:I150"/>
    <mergeCell ref="A152:A154"/>
    <mergeCell ref="C152:D152"/>
    <mergeCell ref="E152:F152"/>
    <mergeCell ref="G152:G153"/>
    <mergeCell ref="H152:H153"/>
    <mergeCell ref="A97:E97"/>
    <mergeCell ref="A118:G118"/>
    <mergeCell ref="A121:G121"/>
    <mergeCell ref="A122:G122"/>
    <mergeCell ref="A133:E133"/>
    <mergeCell ref="A140:F140"/>
    <mergeCell ref="A60:F60"/>
    <mergeCell ref="A68:G68"/>
    <mergeCell ref="A71:G71"/>
    <mergeCell ref="A72:G72"/>
    <mergeCell ref="A80:I80"/>
    <mergeCell ref="A84:F84"/>
    <mergeCell ref="A45:E45"/>
    <mergeCell ref="A50:A51"/>
    <mergeCell ref="C50:C51"/>
    <mergeCell ref="D50:D51"/>
    <mergeCell ref="A57:F57"/>
    <mergeCell ref="A59:F59"/>
    <mergeCell ref="E21:G21"/>
    <mergeCell ref="A28:B28"/>
    <mergeCell ref="A31:F31"/>
    <mergeCell ref="A38:F38"/>
    <mergeCell ref="A20:A22"/>
    <mergeCell ref="B20:B22"/>
    <mergeCell ref="C20:C22"/>
    <mergeCell ref="D20:G20"/>
    <mergeCell ref="H20:H22"/>
    <mergeCell ref="I20:I22"/>
    <mergeCell ref="F1:G1"/>
    <mergeCell ref="A11:G11"/>
    <mergeCell ref="A13:J13"/>
    <mergeCell ref="A15:J15"/>
    <mergeCell ref="A16:J16"/>
    <mergeCell ref="A18:J18"/>
    <mergeCell ref="J20:J22"/>
    <mergeCell ref="D21:D2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4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167"/>
  <sheetViews>
    <sheetView view="pageBreakPreview" zoomScale="60" zoomScaleNormal="72" zoomScalePageLayoutView="0" workbookViewId="0" topLeftCell="A2">
      <selection activeCell="K161" sqref="K161"/>
    </sheetView>
  </sheetViews>
  <sheetFormatPr defaultColWidth="9.140625" defaultRowHeight="15"/>
  <cols>
    <col min="1" max="1" width="9.00390625" style="0" customWidth="1"/>
    <col min="2" max="2" width="44.00390625" style="0" customWidth="1"/>
    <col min="3" max="3" width="20.7109375" style="0" customWidth="1"/>
    <col min="4" max="4" width="22.7109375" style="0" customWidth="1"/>
    <col min="5" max="5" width="22.00390625" style="0" customWidth="1"/>
    <col min="6" max="6" width="21.421875" style="0" customWidth="1"/>
    <col min="7" max="7" width="19.140625" style="0" customWidth="1"/>
    <col min="8" max="8" width="19.7109375" style="0" customWidth="1"/>
    <col min="9" max="9" width="21.00390625" style="0" customWidth="1"/>
    <col min="10" max="10" width="21.140625" style="0" customWidth="1"/>
    <col min="11" max="11" width="10.57421875" style="0" bestFit="1" customWidth="1"/>
    <col min="12" max="12" width="25.8515625" style="0" customWidth="1"/>
    <col min="13" max="13" width="18.7109375" style="0" customWidth="1"/>
    <col min="14" max="14" width="9.421875" style="0" bestFit="1" customWidth="1"/>
    <col min="18" max="19" width="13.421875" style="0" bestFit="1" customWidth="1"/>
  </cols>
  <sheetData>
    <row r="1" spans="6:10" ht="18.75">
      <c r="F1" s="417" t="s">
        <v>107</v>
      </c>
      <c r="G1" s="417"/>
      <c r="H1" s="11"/>
      <c r="J1" s="11"/>
    </row>
    <row r="2" spans="5:10" ht="18.75">
      <c r="E2" s="23"/>
      <c r="F2" s="23" t="s">
        <v>400</v>
      </c>
      <c r="G2" s="23"/>
      <c r="H2" s="11"/>
      <c r="J2" s="11"/>
    </row>
    <row r="3" spans="5:10" ht="16.5">
      <c r="E3" s="158"/>
      <c r="F3" s="158" t="s">
        <v>399</v>
      </c>
      <c r="G3" s="158"/>
      <c r="H3" s="22"/>
      <c r="J3" s="22"/>
    </row>
    <row r="4" spans="6:10" ht="16.5">
      <c r="F4" s="158" t="s">
        <v>110</v>
      </c>
      <c r="G4" s="158"/>
      <c r="H4" s="22"/>
      <c r="J4" s="22"/>
    </row>
    <row r="5" spans="6:10" ht="16.5">
      <c r="F5" s="158" t="s">
        <v>111</v>
      </c>
      <c r="G5" s="158"/>
      <c r="H5" s="22"/>
      <c r="J5" s="22"/>
    </row>
    <row r="6" spans="5:10" ht="16.5">
      <c r="E6" s="158"/>
      <c r="F6" s="158" t="s">
        <v>112</v>
      </c>
      <c r="G6" s="158"/>
      <c r="H6" s="22"/>
      <c r="J6" s="22"/>
    </row>
    <row r="7" spans="5:10" ht="16.5">
      <c r="E7" s="158"/>
      <c r="F7" s="158" t="s">
        <v>113</v>
      </c>
      <c r="G7" s="158"/>
      <c r="H7" s="22"/>
      <c r="J7" s="22"/>
    </row>
    <row r="8" spans="6:10" ht="16.5">
      <c r="F8" s="22" t="s">
        <v>114</v>
      </c>
      <c r="H8" s="22"/>
      <c r="J8" s="22"/>
    </row>
    <row r="11" spans="1:10" ht="15" customHeight="1">
      <c r="A11" s="339" t="s">
        <v>443</v>
      </c>
      <c r="B11" s="339"/>
      <c r="C11" s="339"/>
      <c r="D11" s="339"/>
      <c r="E11" s="339"/>
      <c r="F11" s="339"/>
      <c r="G11" s="339"/>
      <c r="H11" s="159"/>
      <c r="I11" s="159"/>
      <c r="J11" s="159"/>
    </row>
    <row r="12" spans="1:10" ht="18.75" hidden="1">
      <c r="A12" s="101"/>
      <c r="B12" s="101"/>
      <c r="C12" s="197"/>
      <c r="D12" s="101"/>
      <c r="E12" s="101"/>
      <c r="F12" s="101"/>
      <c r="G12" s="101"/>
      <c r="H12" s="101"/>
      <c r="I12" s="101"/>
      <c r="J12" s="101"/>
    </row>
    <row r="13" spans="1:10" ht="18.75" hidden="1">
      <c r="A13" s="339" t="s">
        <v>115</v>
      </c>
      <c r="B13" s="339"/>
      <c r="C13" s="339"/>
      <c r="D13" s="339"/>
      <c r="E13" s="339"/>
      <c r="F13" s="339"/>
      <c r="G13" s="339"/>
      <c r="H13" s="339"/>
      <c r="I13" s="339"/>
      <c r="J13" s="339"/>
    </row>
    <row r="14" spans="1:10" ht="15" hidden="1">
      <c r="A14" s="101"/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0" ht="18.75" hidden="1">
      <c r="A15" s="417" t="s">
        <v>284</v>
      </c>
      <c r="B15" s="417"/>
      <c r="C15" s="417"/>
      <c r="D15" s="417"/>
      <c r="E15" s="417"/>
      <c r="F15" s="417"/>
      <c r="G15" s="417"/>
      <c r="H15" s="417"/>
      <c r="I15" s="417"/>
      <c r="J15" s="417"/>
    </row>
    <row r="16" spans="1:10" ht="21" customHeight="1" hidden="1">
      <c r="A16" s="417" t="s">
        <v>285</v>
      </c>
      <c r="B16" s="417"/>
      <c r="C16" s="417"/>
      <c r="D16" s="417"/>
      <c r="E16" s="417"/>
      <c r="F16" s="417"/>
      <c r="G16" s="417"/>
      <c r="H16" s="417"/>
      <c r="I16" s="417"/>
      <c r="J16" s="417"/>
    </row>
    <row r="17" ht="18.75" hidden="1">
      <c r="A17" s="23"/>
    </row>
    <row r="18" spans="1:10" ht="18.75" hidden="1">
      <c r="A18" s="339" t="s">
        <v>116</v>
      </c>
      <c r="B18" s="339"/>
      <c r="C18" s="339"/>
      <c r="D18" s="339"/>
      <c r="E18" s="339"/>
      <c r="F18" s="339"/>
      <c r="G18" s="339"/>
      <c r="H18" s="339"/>
      <c r="I18" s="339"/>
      <c r="J18" s="339"/>
    </row>
    <row r="19" ht="15" hidden="1">
      <c r="I19">
        <v>1.6</v>
      </c>
    </row>
    <row r="20" spans="1:10" ht="36" customHeight="1" hidden="1" thickBot="1">
      <c r="A20" s="349" t="s">
        <v>0</v>
      </c>
      <c r="B20" s="349" t="s">
        <v>117</v>
      </c>
      <c r="C20" s="349" t="s">
        <v>349</v>
      </c>
      <c r="D20" s="355" t="s">
        <v>118</v>
      </c>
      <c r="E20" s="356"/>
      <c r="F20" s="356"/>
      <c r="G20" s="357"/>
      <c r="H20" s="349" t="s">
        <v>119</v>
      </c>
      <c r="I20" s="349" t="s">
        <v>120</v>
      </c>
      <c r="J20" s="349" t="s">
        <v>350</v>
      </c>
    </row>
    <row r="21" spans="1:10" ht="19.5" hidden="1" thickBot="1">
      <c r="A21" s="354"/>
      <c r="B21" s="354"/>
      <c r="C21" s="354"/>
      <c r="D21" s="349" t="s">
        <v>121</v>
      </c>
      <c r="E21" s="355" t="s">
        <v>22</v>
      </c>
      <c r="F21" s="356"/>
      <c r="G21" s="357"/>
      <c r="H21" s="354"/>
      <c r="I21" s="354"/>
      <c r="J21" s="354"/>
    </row>
    <row r="22" spans="1:10" ht="109.5" customHeight="1" hidden="1" thickBot="1">
      <c r="A22" s="350"/>
      <c r="B22" s="350"/>
      <c r="C22" s="350"/>
      <c r="D22" s="350"/>
      <c r="E22" s="202" t="s">
        <v>122</v>
      </c>
      <c r="F22" s="202" t="s">
        <v>123</v>
      </c>
      <c r="G22" s="202" t="s">
        <v>124</v>
      </c>
      <c r="H22" s="350"/>
      <c r="I22" s="350"/>
      <c r="J22" s="350"/>
    </row>
    <row r="23" spans="1:10" ht="19.5" hidden="1" thickBot="1">
      <c r="A23" s="196">
        <v>1</v>
      </c>
      <c r="B23" s="202">
        <v>2</v>
      </c>
      <c r="C23" s="202">
        <v>3</v>
      </c>
      <c r="D23" s="202">
        <v>4</v>
      </c>
      <c r="E23" s="202">
        <v>5</v>
      </c>
      <c r="F23" s="202">
        <v>6</v>
      </c>
      <c r="G23" s="202">
        <v>7</v>
      </c>
      <c r="H23" s="202">
        <v>8</v>
      </c>
      <c r="I23" s="202">
        <v>9</v>
      </c>
      <c r="J23" s="202">
        <v>10</v>
      </c>
    </row>
    <row r="24" spans="1:13" ht="19.5" hidden="1" thickBot="1">
      <c r="A24" s="196"/>
      <c r="B24" s="196" t="s">
        <v>286</v>
      </c>
      <c r="C24" s="202"/>
      <c r="D24" s="21"/>
      <c r="E24" s="21"/>
      <c r="F24" s="21"/>
      <c r="G24" s="21"/>
      <c r="H24" s="21"/>
      <c r="I24" s="21"/>
      <c r="J24" s="21"/>
      <c r="L24" s="74"/>
      <c r="M24" s="74"/>
    </row>
    <row r="25" spans="1:13" ht="19.5" hidden="1" thickBot="1">
      <c r="A25" s="196"/>
      <c r="B25" s="196" t="s">
        <v>287</v>
      </c>
      <c r="C25" s="202"/>
      <c r="D25" s="21"/>
      <c r="E25" s="21"/>
      <c r="F25" s="21"/>
      <c r="G25" s="21"/>
      <c r="H25" s="102"/>
      <c r="I25" s="21"/>
      <c r="J25" s="21"/>
      <c r="L25" s="74"/>
      <c r="M25" s="74"/>
    </row>
    <row r="26" spans="1:12" ht="19.5" hidden="1" thickBot="1">
      <c r="A26" s="201"/>
      <c r="B26" s="196" t="s">
        <v>288</v>
      </c>
      <c r="C26" s="202"/>
      <c r="D26" s="21"/>
      <c r="E26" s="21"/>
      <c r="F26" s="21"/>
      <c r="G26" s="21"/>
      <c r="H26" s="21"/>
      <c r="I26" s="21"/>
      <c r="J26" s="21"/>
      <c r="L26" s="74"/>
    </row>
    <row r="27" spans="1:19" ht="19.5" hidden="1" thickBot="1">
      <c r="A27" s="201"/>
      <c r="B27" s="196" t="s">
        <v>289</v>
      </c>
      <c r="C27" s="202"/>
      <c r="D27" s="21"/>
      <c r="E27" s="103"/>
      <c r="F27" s="103"/>
      <c r="G27" s="21"/>
      <c r="H27" s="202"/>
      <c r="I27" s="21"/>
      <c r="J27" s="21"/>
      <c r="L27" s="74"/>
      <c r="M27" s="74"/>
      <c r="R27" s="74">
        <f>L27-J28</f>
        <v>0</v>
      </c>
      <c r="S27" s="75">
        <f>R27-259000-100000</f>
        <v>-359000</v>
      </c>
    </row>
    <row r="28" spans="1:12" ht="39.75" customHeight="1" hidden="1" thickBot="1">
      <c r="A28" s="418" t="s">
        <v>125</v>
      </c>
      <c r="B28" s="419"/>
      <c r="C28" s="104" t="s">
        <v>126</v>
      </c>
      <c r="D28" s="104"/>
      <c r="E28" s="104" t="s">
        <v>126</v>
      </c>
      <c r="F28" s="104" t="s">
        <v>126</v>
      </c>
      <c r="G28" s="104" t="s">
        <v>126</v>
      </c>
      <c r="H28" s="105" t="s">
        <v>126</v>
      </c>
      <c r="I28" s="104" t="s">
        <v>126</v>
      </c>
      <c r="J28" s="106">
        <f>SUM(J24:J27)</f>
        <v>0</v>
      </c>
      <c r="L28" s="74"/>
    </row>
    <row r="29" spans="12:13" ht="15" hidden="1">
      <c r="L29" s="76"/>
      <c r="M29" s="74"/>
    </row>
    <row r="30" spans="12:13" ht="15" hidden="1">
      <c r="L30" s="74"/>
      <c r="M30" s="74"/>
    </row>
    <row r="31" spans="1:12" s="77" customFormat="1" ht="38.25" customHeight="1" hidden="1">
      <c r="A31" s="420" t="s">
        <v>170</v>
      </c>
      <c r="B31" s="420"/>
      <c r="C31" s="420"/>
      <c r="D31" s="420"/>
      <c r="E31" s="420"/>
      <c r="F31" s="420"/>
      <c r="L31" s="78"/>
    </row>
    <row r="32" s="77" customFormat="1" ht="15" hidden="1">
      <c r="L32" s="78"/>
    </row>
    <row r="33" spans="1:12" s="77" customFormat="1" ht="123" customHeight="1" hidden="1" thickBot="1">
      <c r="A33" s="79" t="s">
        <v>0</v>
      </c>
      <c r="B33" s="203" t="s">
        <v>127</v>
      </c>
      <c r="C33" s="203" t="s">
        <v>128</v>
      </c>
      <c r="D33" s="203" t="s">
        <v>129</v>
      </c>
      <c r="E33" s="203" t="s">
        <v>130</v>
      </c>
      <c r="F33" s="203" t="s">
        <v>131</v>
      </c>
      <c r="L33" s="78"/>
    </row>
    <row r="34" spans="1:6" s="77" customFormat="1" ht="19.5" hidden="1" thickBot="1">
      <c r="A34" s="200">
        <v>1</v>
      </c>
      <c r="B34" s="65">
        <v>2</v>
      </c>
      <c r="C34" s="65">
        <v>3</v>
      </c>
      <c r="D34" s="65">
        <v>4</v>
      </c>
      <c r="E34" s="65">
        <v>5</v>
      </c>
      <c r="F34" s="65">
        <v>6</v>
      </c>
    </row>
    <row r="35" spans="1:6" s="77" customFormat="1" ht="19.5" hidden="1" thickBot="1">
      <c r="A35" s="200">
        <v>1</v>
      </c>
      <c r="B35" s="65"/>
      <c r="C35" s="80">
        <v>0</v>
      </c>
      <c r="D35" s="80">
        <v>0</v>
      </c>
      <c r="E35" s="80">
        <v>0</v>
      </c>
      <c r="F35" s="80">
        <f>C35*D35*E35</f>
        <v>0</v>
      </c>
    </row>
    <row r="36" spans="1:6" s="77" customFormat="1" ht="19.5" hidden="1" thickBot="1">
      <c r="A36" s="200"/>
      <c r="B36" s="81" t="s">
        <v>125</v>
      </c>
      <c r="C36" s="72" t="s">
        <v>126</v>
      </c>
      <c r="D36" s="72" t="s">
        <v>126</v>
      </c>
      <c r="E36" s="72" t="s">
        <v>126</v>
      </c>
      <c r="F36" s="82">
        <f>F35</f>
        <v>0</v>
      </c>
    </row>
    <row r="37" s="77" customFormat="1" ht="15" hidden="1"/>
    <row r="38" spans="1:6" s="77" customFormat="1" ht="18.75" hidden="1">
      <c r="A38" s="420" t="s">
        <v>171</v>
      </c>
      <c r="B38" s="420"/>
      <c r="C38" s="420"/>
      <c r="D38" s="420"/>
      <c r="E38" s="420"/>
      <c r="F38" s="420"/>
    </row>
    <row r="39" s="77" customFormat="1" ht="15" hidden="1"/>
    <row r="40" spans="1:6" s="77" customFormat="1" ht="124.5" customHeight="1" hidden="1" thickBot="1">
      <c r="A40" s="79" t="s">
        <v>0</v>
      </c>
      <c r="B40" s="203" t="s">
        <v>127</v>
      </c>
      <c r="C40" s="203" t="s">
        <v>132</v>
      </c>
      <c r="D40" s="203" t="s">
        <v>133</v>
      </c>
      <c r="E40" s="203" t="s">
        <v>134</v>
      </c>
      <c r="F40" s="203" t="s">
        <v>131</v>
      </c>
    </row>
    <row r="41" spans="1:6" s="77" customFormat="1" ht="19.5" hidden="1" thickBot="1">
      <c r="A41" s="200">
        <v>1</v>
      </c>
      <c r="B41" s="65">
        <v>2</v>
      </c>
      <c r="C41" s="65">
        <v>3</v>
      </c>
      <c r="D41" s="65">
        <v>4</v>
      </c>
      <c r="E41" s="65">
        <v>5</v>
      </c>
      <c r="F41" s="65">
        <v>6</v>
      </c>
    </row>
    <row r="42" spans="1:6" s="77" customFormat="1" ht="51.75" customHeight="1" hidden="1" thickBot="1">
      <c r="A42" s="200">
        <v>1</v>
      </c>
      <c r="B42" s="65" t="s">
        <v>290</v>
      </c>
      <c r="C42" s="65"/>
      <c r="D42" s="65"/>
      <c r="E42" s="80"/>
      <c r="F42" s="80">
        <f>C42*D42*E42</f>
        <v>0</v>
      </c>
    </row>
    <row r="43" spans="1:6" s="77" customFormat="1" ht="19.5" hidden="1" thickBot="1">
      <c r="A43" s="200"/>
      <c r="B43" s="81" t="s">
        <v>125</v>
      </c>
      <c r="C43" s="72" t="s">
        <v>126</v>
      </c>
      <c r="D43" s="72" t="s">
        <v>126</v>
      </c>
      <c r="E43" s="72" t="s">
        <v>126</v>
      </c>
      <c r="F43" s="83">
        <f>F42</f>
        <v>0</v>
      </c>
    </row>
    <row r="44" s="77" customFormat="1" ht="15" hidden="1"/>
    <row r="45" spans="1:5" s="77" customFormat="1" ht="80.25" customHeight="1" hidden="1">
      <c r="A45" s="420" t="s">
        <v>172</v>
      </c>
      <c r="B45" s="420"/>
      <c r="C45" s="420"/>
      <c r="D45" s="420"/>
      <c r="E45" s="420"/>
    </row>
    <row r="46" s="77" customFormat="1" ht="15" hidden="1"/>
    <row r="47" spans="1:4" s="77" customFormat="1" ht="144.75" customHeight="1" hidden="1" thickBot="1">
      <c r="A47" s="79" t="s">
        <v>0</v>
      </c>
      <c r="B47" s="203" t="s">
        <v>135</v>
      </c>
      <c r="C47" s="203" t="s">
        <v>136</v>
      </c>
      <c r="D47" s="203" t="s">
        <v>137</v>
      </c>
    </row>
    <row r="48" spans="1:4" s="77" customFormat="1" ht="19.5" hidden="1" thickBot="1">
      <c r="A48" s="200">
        <v>1</v>
      </c>
      <c r="B48" s="65">
        <v>2</v>
      </c>
      <c r="C48" s="65">
        <v>3</v>
      </c>
      <c r="D48" s="65">
        <v>4</v>
      </c>
    </row>
    <row r="49" spans="1:4" s="77" customFormat="1" ht="113.25" customHeight="1" hidden="1" thickBot="1">
      <c r="A49" s="200">
        <v>1</v>
      </c>
      <c r="B49" s="84" t="s">
        <v>138</v>
      </c>
      <c r="C49" s="65" t="s">
        <v>126</v>
      </c>
      <c r="D49" s="66"/>
    </row>
    <row r="50" spans="1:4" s="77" customFormat="1" ht="18.75" hidden="1">
      <c r="A50" s="421" t="s">
        <v>139</v>
      </c>
      <c r="B50" s="85" t="s">
        <v>22</v>
      </c>
      <c r="C50" s="421"/>
      <c r="D50" s="383"/>
    </row>
    <row r="51" spans="1:4" s="77" customFormat="1" ht="19.5" hidden="1" thickBot="1">
      <c r="A51" s="422"/>
      <c r="B51" s="86" t="s">
        <v>140</v>
      </c>
      <c r="C51" s="422"/>
      <c r="D51" s="384"/>
    </row>
    <row r="52" spans="1:4" s="77" customFormat="1" ht="19.5" hidden="1" thickBot="1">
      <c r="A52" s="200" t="s">
        <v>141</v>
      </c>
      <c r="B52" s="87" t="s">
        <v>142</v>
      </c>
      <c r="C52" s="65"/>
      <c r="D52" s="66"/>
    </row>
    <row r="53" spans="1:4" s="77" customFormat="1" ht="120.75" customHeight="1" hidden="1" thickBot="1">
      <c r="A53" s="200">
        <v>2</v>
      </c>
      <c r="B53" s="84" t="s">
        <v>143</v>
      </c>
      <c r="C53" s="65" t="s">
        <v>126</v>
      </c>
      <c r="D53" s="66"/>
    </row>
    <row r="54" spans="1:4" s="77" customFormat="1" ht="164.25" customHeight="1" hidden="1" thickBot="1">
      <c r="A54" s="200">
        <v>3</v>
      </c>
      <c r="B54" s="84" t="s">
        <v>144</v>
      </c>
      <c r="C54" s="66">
        <f>J28</f>
        <v>0</v>
      </c>
      <c r="D54" s="66">
        <f>C54*5.1%</f>
        <v>0</v>
      </c>
    </row>
    <row r="55" spans="1:4" s="77" customFormat="1" ht="19.5" hidden="1" thickBot="1">
      <c r="A55" s="200"/>
      <c r="B55" s="81" t="s">
        <v>125</v>
      </c>
      <c r="C55" s="72" t="s">
        <v>126</v>
      </c>
      <c r="D55" s="73">
        <f>D50+D53+D54</f>
        <v>0</v>
      </c>
    </row>
    <row r="56" s="77" customFormat="1" ht="15" hidden="1"/>
    <row r="57" spans="1:6" s="77" customFormat="1" ht="36" customHeight="1" hidden="1">
      <c r="A57" s="420" t="s">
        <v>173</v>
      </c>
      <c r="B57" s="420"/>
      <c r="C57" s="420"/>
      <c r="D57" s="420"/>
      <c r="E57" s="420"/>
      <c r="F57" s="420"/>
    </row>
    <row r="58" s="77" customFormat="1" ht="15" hidden="1"/>
    <row r="59" spans="1:6" s="77" customFormat="1" ht="18.75" hidden="1">
      <c r="A59" s="423" t="s">
        <v>174</v>
      </c>
      <c r="B59" s="423"/>
      <c r="C59" s="423"/>
      <c r="D59" s="423"/>
      <c r="E59" s="423"/>
      <c r="F59" s="423"/>
    </row>
    <row r="60" spans="1:6" s="77" customFormat="1" ht="18.75" hidden="1">
      <c r="A60" s="423" t="s">
        <v>175</v>
      </c>
      <c r="B60" s="423"/>
      <c r="C60" s="423"/>
      <c r="D60" s="423"/>
      <c r="E60" s="423"/>
      <c r="F60" s="423"/>
    </row>
    <row r="61" s="77" customFormat="1" ht="18.75" hidden="1">
      <c r="A61" s="88"/>
    </row>
    <row r="62" spans="1:5" s="77" customFormat="1" ht="108" customHeight="1" hidden="1" thickBot="1">
      <c r="A62" s="79" t="s">
        <v>0</v>
      </c>
      <c r="B62" s="203" t="s">
        <v>1</v>
      </c>
      <c r="C62" s="203" t="s">
        <v>145</v>
      </c>
      <c r="D62" s="203" t="s">
        <v>146</v>
      </c>
      <c r="E62" s="203" t="s">
        <v>147</v>
      </c>
    </row>
    <row r="63" spans="1:5" s="77" customFormat="1" ht="19.5" hidden="1" thickBot="1">
      <c r="A63" s="200">
        <v>1</v>
      </c>
      <c r="B63" s="65">
        <v>2</v>
      </c>
      <c r="C63" s="65">
        <v>3</v>
      </c>
      <c r="D63" s="65">
        <v>4</v>
      </c>
      <c r="E63" s="65">
        <v>5</v>
      </c>
    </row>
    <row r="64" spans="1:5" s="77" customFormat="1" ht="19.5" hidden="1" thickBot="1">
      <c r="A64" s="200"/>
      <c r="B64" s="65"/>
      <c r="C64" s="65"/>
      <c r="D64" s="65"/>
      <c r="E64" s="65"/>
    </row>
    <row r="65" spans="1:5" s="77" customFormat="1" ht="19.5" hidden="1" thickBot="1">
      <c r="A65" s="200"/>
      <c r="B65" s="81" t="s">
        <v>125</v>
      </c>
      <c r="C65" s="72" t="s">
        <v>126</v>
      </c>
      <c r="D65" s="72" t="s">
        <v>126</v>
      </c>
      <c r="E65" s="72"/>
    </row>
    <row r="66" s="77" customFormat="1" ht="15" hidden="1"/>
    <row r="67" s="77" customFormat="1" ht="15" hidden="1"/>
    <row r="68" spans="1:7" s="77" customFormat="1" ht="18.75" hidden="1">
      <c r="A68" s="424" t="s">
        <v>176</v>
      </c>
      <c r="B68" s="424"/>
      <c r="C68" s="424"/>
      <c r="D68" s="424"/>
      <c r="E68" s="424"/>
      <c r="F68" s="424"/>
      <c r="G68" s="424"/>
    </row>
    <row r="69" s="77" customFormat="1" ht="18.75" hidden="1">
      <c r="A69" s="204"/>
    </row>
    <row r="70" s="77" customFormat="1" ht="18.75" hidden="1">
      <c r="A70" s="88"/>
    </row>
    <row r="71" spans="1:7" s="77" customFormat="1" ht="18.75" hidden="1">
      <c r="A71" s="423" t="s">
        <v>291</v>
      </c>
      <c r="B71" s="423"/>
      <c r="C71" s="423"/>
      <c r="D71" s="423"/>
      <c r="E71" s="423"/>
      <c r="F71" s="423"/>
      <c r="G71" s="423"/>
    </row>
    <row r="72" spans="1:7" s="77" customFormat="1" ht="18.75" hidden="1">
      <c r="A72" s="423" t="s">
        <v>292</v>
      </c>
      <c r="B72" s="423"/>
      <c r="C72" s="423"/>
      <c r="D72" s="423"/>
      <c r="E72" s="423"/>
      <c r="F72" s="423"/>
      <c r="G72" s="423"/>
    </row>
    <row r="73" s="77" customFormat="1" ht="18.75" hidden="1">
      <c r="A73" s="88"/>
    </row>
    <row r="74" spans="1:5" s="77" customFormat="1" ht="141.75" customHeight="1" hidden="1" thickBot="1">
      <c r="A74" s="79" t="s">
        <v>0</v>
      </c>
      <c r="B74" s="203" t="s">
        <v>127</v>
      </c>
      <c r="C74" s="203" t="s">
        <v>148</v>
      </c>
      <c r="D74" s="203" t="s">
        <v>149</v>
      </c>
      <c r="E74" s="203" t="s">
        <v>150</v>
      </c>
    </row>
    <row r="75" spans="1:5" s="77" customFormat="1" ht="19.5" hidden="1" thickBot="1">
      <c r="A75" s="200">
        <v>1</v>
      </c>
      <c r="B75" s="65">
        <v>2</v>
      </c>
      <c r="C75" s="65">
        <v>3</v>
      </c>
      <c r="D75" s="65">
        <v>4</v>
      </c>
      <c r="E75" s="65">
        <v>5</v>
      </c>
    </row>
    <row r="76" spans="1:8" s="77" customFormat="1" ht="19.5" hidden="1" thickBot="1">
      <c r="A76" s="200">
        <v>1</v>
      </c>
      <c r="B76" s="65" t="s">
        <v>293</v>
      </c>
      <c r="C76" s="89"/>
      <c r="D76" s="89"/>
      <c r="E76" s="89"/>
      <c r="H76" s="90"/>
    </row>
    <row r="77" spans="1:5" s="77" customFormat="1" ht="27" customHeight="1" hidden="1" thickBot="1">
      <c r="A77" s="200">
        <v>2</v>
      </c>
      <c r="B77" s="65" t="s">
        <v>294</v>
      </c>
      <c r="C77" s="89"/>
      <c r="D77" s="89"/>
      <c r="E77" s="89"/>
    </row>
    <row r="78" spans="1:5" s="77" customFormat="1" ht="19.5" hidden="1" thickBot="1">
      <c r="A78" s="200"/>
      <c r="B78" s="81" t="s">
        <v>125</v>
      </c>
      <c r="C78" s="83"/>
      <c r="D78" s="83" t="s">
        <v>126</v>
      </c>
      <c r="E78" s="83">
        <f>E77+E76</f>
        <v>0</v>
      </c>
    </row>
    <row r="79" s="77" customFormat="1" ht="15" hidden="1"/>
    <row r="80" spans="1:9" s="77" customFormat="1" ht="18.75">
      <c r="A80" s="424" t="s">
        <v>328</v>
      </c>
      <c r="B80" s="424"/>
      <c r="C80" s="424"/>
      <c r="D80" s="424"/>
      <c r="E80" s="424"/>
      <c r="F80" s="424"/>
      <c r="G80" s="424"/>
      <c r="H80" s="424"/>
      <c r="I80" s="424"/>
    </row>
    <row r="81" s="77" customFormat="1" ht="2.25" customHeight="1">
      <c r="A81" s="204"/>
    </row>
    <row r="82" s="77" customFormat="1" ht="18.75">
      <c r="A82" s="91" t="s">
        <v>296</v>
      </c>
    </row>
    <row r="83" spans="1:7" s="77" customFormat="1" ht="18.75">
      <c r="A83" s="205" t="s">
        <v>352</v>
      </c>
      <c r="B83" s="205"/>
      <c r="C83" s="205"/>
      <c r="D83" s="205"/>
      <c r="E83" s="205"/>
      <c r="F83" s="205"/>
      <c r="G83" s="205"/>
    </row>
    <row r="84" spans="1:6" s="77" customFormat="1" ht="18.75" customHeight="1" hidden="1" thickBot="1">
      <c r="A84" s="424" t="s">
        <v>360</v>
      </c>
      <c r="B84" s="424"/>
      <c r="C84" s="424"/>
      <c r="D84" s="424"/>
      <c r="E84" s="424"/>
      <c r="F84" s="424"/>
    </row>
    <row r="85" s="77" customFormat="1" ht="15.75" hidden="1" thickBot="1"/>
    <row r="86" spans="1:7" s="77" customFormat="1" ht="44.25" customHeight="1" hidden="1" thickBot="1">
      <c r="A86" s="79" t="s">
        <v>0</v>
      </c>
      <c r="B86" s="157" t="s">
        <v>1</v>
      </c>
      <c r="C86" s="157" t="s">
        <v>301</v>
      </c>
      <c r="D86" s="157" t="s">
        <v>302</v>
      </c>
      <c r="E86" s="157" t="s">
        <v>157</v>
      </c>
      <c r="F86" s="157" t="s">
        <v>158</v>
      </c>
      <c r="G86" s="157" t="s">
        <v>401</v>
      </c>
    </row>
    <row r="87" spans="1:7" s="77" customFormat="1" ht="19.5" hidden="1" thickBot="1">
      <c r="A87" s="200">
        <v>1</v>
      </c>
      <c r="B87" s="65">
        <v>2</v>
      </c>
      <c r="C87" s="65">
        <v>3</v>
      </c>
      <c r="D87" s="65">
        <v>4</v>
      </c>
      <c r="E87" s="65">
        <v>5</v>
      </c>
      <c r="F87" s="65">
        <v>6</v>
      </c>
      <c r="G87" s="65">
        <v>7</v>
      </c>
    </row>
    <row r="88" spans="1:11" s="77" customFormat="1" ht="23.25" customHeight="1" hidden="1" thickBot="1">
      <c r="A88" s="200">
        <v>1</v>
      </c>
      <c r="B88" s="200" t="s">
        <v>303</v>
      </c>
      <c r="C88" s="80" t="s">
        <v>304</v>
      </c>
      <c r="D88" s="80">
        <v>0.336845736281133</v>
      </c>
      <c r="E88" s="80">
        <v>6103.03108686</v>
      </c>
      <c r="F88" s="65"/>
      <c r="G88" s="97"/>
      <c r="K88" s="131"/>
    </row>
    <row r="89" spans="1:11" s="77" customFormat="1" ht="23.25" customHeight="1" hidden="1" thickBot="1">
      <c r="A89" s="200">
        <v>2</v>
      </c>
      <c r="B89" s="200" t="s">
        <v>306</v>
      </c>
      <c r="C89" s="80" t="s">
        <v>331</v>
      </c>
      <c r="D89" s="80">
        <v>481.9498164014688</v>
      </c>
      <c r="E89" s="80">
        <v>8.17</v>
      </c>
      <c r="F89" s="65"/>
      <c r="G89" s="97"/>
      <c r="K89" s="131"/>
    </row>
    <row r="90" spans="1:11" s="77" customFormat="1" ht="23.25" customHeight="1" hidden="1" thickBot="1">
      <c r="A90" s="200">
        <v>3</v>
      </c>
      <c r="B90" s="200" t="s">
        <v>307</v>
      </c>
      <c r="C90" s="80" t="s">
        <v>353</v>
      </c>
      <c r="D90" s="80">
        <v>2.2272189349112423</v>
      </c>
      <c r="E90" s="80">
        <v>50.7</v>
      </c>
      <c r="F90" s="65"/>
      <c r="G90" s="97"/>
      <c r="K90" s="131"/>
    </row>
    <row r="91" spans="1:12" s="77" customFormat="1" ht="23.25" customHeight="1" hidden="1" thickBot="1">
      <c r="A91" s="200">
        <v>4</v>
      </c>
      <c r="B91" s="200" t="s">
        <v>309</v>
      </c>
      <c r="C91" s="80" t="s">
        <v>353</v>
      </c>
      <c r="D91" s="80">
        <v>2.2272851296043656</v>
      </c>
      <c r="E91" s="80">
        <v>36.65</v>
      </c>
      <c r="F91" s="65"/>
      <c r="G91" s="97"/>
      <c r="K91" s="131"/>
      <c r="L91" s="132"/>
    </row>
    <row r="92" spans="1:11" s="77" customFormat="1" ht="47.25" customHeight="1" hidden="1" thickBot="1">
      <c r="A92" s="200">
        <v>6</v>
      </c>
      <c r="B92" s="200" t="s">
        <v>310</v>
      </c>
      <c r="C92" s="80" t="s">
        <v>353</v>
      </c>
      <c r="D92" s="80"/>
      <c r="E92" s="80"/>
      <c r="F92" s="65"/>
      <c r="G92" s="97">
        <f>D92*E92</f>
        <v>0</v>
      </c>
      <c r="K92" s="133"/>
    </row>
    <row r="93" spans="1:7" s="77" customFormat="1" ht="19.5" hidden="1" thickBot="1">
      <c r="A93" s="200"/>
      <c r="B93" s="81" t="s">
        <v>125</v>
      </c>
      <c r="C93" s="72" t="s">
        <v>126</v>
      </c>
      <c r="D93" s="72" t="s">
        <v>126</v>
      </c>
      <c r="E93" s="72" t="s">
        <v>126</v>
      </c>
      <c r="F93" s="72" t="s">
        <v>126</v>
      </c>
      <c r="G93" s="92">
        <f>SUM(G88:G92)</f>
        <v>0</v>
      </c>
    </row>
    <row r="94" s="77" customFormat="1" ht="11.25" customHeight="1" hidden="1"/>
    <row r="95" s="77" customFormat="1" ht="15" hidden="1">
      <c r="K95" s="90"/>
    </row>
    <row r="96" s="77" customFormat="1" ht="15" hidden="1"/>
    <row r="97" spans="1:5" s="134" customFormat="1" ht="27" customHeight="1" hidden="1">
      <c r="A97" s="408" t="s">
        <v>361</v>
      </c>
      <c r="B97" s="408"/>
      <c r="C97" s="408"/>
      <c r="D97" s="408"/>
      <c r="E97" s="408"/>
    </row>
    <row r="98" s="134" customFormat="1" ht="19.5" hidden="1" thickBot="1">
      <c r="A98" s="135"/>
    </row>
    <row r="99" spans="1:5" s="134" customFormat="1" ht="38.25" hidden="1" thickBot="1">
      <c r="A99" s="136" t="s">
        <v>0</v>
      </c>
      <c r="B99" s="137" t="s">
        <v>127</v>
      </c>
      <c r="C99" s="137" t="s">
        <v>163</v>
      </c>
      <c r="D99" s="137" t="s">
        <v>164</v>
      </c>
      <c r="E99" s="137" t="s">
        <v>165</v>
      </c>
    </row>
    <row r="100" spans="1:5" s="134" customFormat="1" ht="19.5" hidden="1" thickBot="1">
      <c r="A100" s="199">
        <v>1</v>
      </c>
      <c r="B100" s="112">
        <v>2</v>
      </c>
      <c r="C100" s="112">
        <v>3</v>
      </c>
      <c r="D100" s="112">
        <v>4</v>
      </c>
      <c r="E100" s="112">
        <v>5</v>
      </c>
    </row>
    <row r="101" spans="1:5" s="134" customFormat="1" ht="19.5" hidden="1" thickBot="1">
      <c r="A101" s="199">
        <v>1</v>
      </c>
      <c r="B101" s="138" t="s">
        <v>313</v>
      </c>
      <c r="C101" s="112"/>
      <c r="D101" s="112">
        <v>12</v>
      </c>
      <c r="E101" s="139"/>
    </row>
    <row r="102" spans="1:5" s="134" customFormat="1" ht="19.5" hidden="1" thickBot="1">
      <c r="A102" s="199">
        <v>2</v>
      </c>
      <c r="B102" s="138" t="s">
        <v>346</v>
      </c>
      <c r="C102" s="112"/>
      <c r="D102" s="112">
        <v>12</v>
      </c>
      <c r="E102" s="139"/>
    </row>
    <row r="103" spans="1:5" s="134" customFormat="1" ht="19.5" hidden="1" thickBot="1">
      <c r="A103" s="199">
        <v>3</v>
      </c>
      <c r="B103" s="138" t="s">
        <v>314</v>
      </c>
      <c r="C103" s="112"/>
      <c r="D103" s="112">
        <v>12</v>
      </c>
      <c r="E103" s="139"/>
    </row>
    <row r="104" spans="1:5" s="134" customFormat="1" ht="38.25" hidden="1" thickBot="1">
      <c r="A104" s="199">
        <v>4</v>
      </c>
      <c r="B104" s="138" t="s">
        <v>329</v>
      </c>
      <c r="C104" s="112"/>
      <c r="D104" s="112">
        <v>12</v>
      </c>
      <c r="E104" s="139"/>
    </row>
    <row r="105" spans="1:5" s="134" customFormat="1" ht="24.75" customHeight="1" hidden="1" thickBot="1">
      <c r="A105" s="199">
        <v>5</v>
      </c>
      <c r="B105" s="138" t="s">
        <v>315</v>
      </c>
      <c r="C105" s="112"/>
      <c r="D105" s="112">
        <v>12</v>
      </c>
      <c r="E105" s="139"/>
    </row>
    <row r="106" spans="1:5" s="134" customFormat="1" ht="38.25" hidden="1" thickBot="1">
      <c r="A106" s="199">
        <v>6</v>
      </c>
      <c r="B106" s="138" t="s">
        <v>316</v>
      </c>
      <c r="C106" s="112"/>
      <c r="D106" s="112">
        <v>12</v>
      </c>
      <c r="E106" s="139"/>
    </row>
    <row r="107" spans="1:5" s="134" customFormat="1" ht="19.5" hidden="1" thickBot="1">
      <c r="A107" s="199">
        <v>7</v>
      </c>
      <c r="B107" s="138" t="s">
        <v>317</v>
      </c>
      <c r="C107" s="112"/>
      <c r="D107" s="112"/>
      <c r="E107" s="139"/>
    </row>
    <row r="108" spans="1:5" s="134" customFormat="1" ht="38.25" hidden="1" thickBot="1">
      <c r="A108" s="199">
        <v>8</v>
      </c>
      <c r="B108" s="138" t="s">
        <v>330</v>
      </c>
      <c r="C108" s="112"/>
      <c r="D108" s="112">
        <v>4</v>
      </c>
      <c r="E108" s="139"/>
    </row>
    <row r="109" spans="1:5" s="134" customFormat="1" ht="36" customHeight="1" hidden="1" thickBot="1">
      <c r="A109" s="199">
        <v>1</v>
      </c>
      <c r="B109" s="138" t="s">
        <v>362</v>
      </c>
      <c r="C109" s="112"/>
      <c r="D109" s="112"/>
      <c r="E109" s="139"/>
    </row>
    <row r="110" spans="1:5" s="134" customFormat="1" ht="73.5" customHeight="1" hidden="1" thickBot="1">
      <c r="A110" s="199">
        <v>2</v>
      </c>
      <c r="B110" s="138" t="s">
        <v>363</v>
      </c>
      <c r="C110" s="112"/>
      <c r="D110" s="112"/>
      <c r="E110" s="139">
        <v>0</v>
      </c>
    </row>
    <row r="111" spans="1:5" s="134" customFormat="1" ht="19.5" hidden="1" thickBot="1">
      <c r="A111" s="199">
        <v>11</v>
      </c>
      <c r="B111" s="138" t="s">
        <v>364</v>
      </c>
      <c r="C111" s="112"/>
      <c r="D111" s="112">
        <v>12</v>
      </c>
      <c r="E111" s="139"/>
    </row>
    <row r="112" spans="1:5" s="134" customFormat="1" ht="19.5" hidden="1" thickBot="1">
      <c r="A112" s="199">
        <v>12</v>
      </c>
      <c r="B112" s="138" t="s">
        <v>365</v>
      </c>
      <c r="C112" s="112"/>
      <c r="D112" s="112"/>
      <c r="E112" s="139"/>
    </row>
    <row r="113" spans="1:5" s="134" customFormat="1" ht="19.5" hidden="1" thickBot="1">
      <c r="A113" s="199">
        <v>13</v>
      </c>
      <c r="B113" s="138" t="s">
        <v>319</v>
      </c>
      <c r="C113" s="112"/>
      <c r="D113" s="112"/>
      <c r="E113" s="139"/>
    </row>
    <row r="114" spans="1:5" s="134" customFormat="1" ht="19.5" hidden="1" thickBot="1">
      <c r="A114" s="199">
        <v>14</v>
      </c>
      <c r="B114" s="138" t="s">
        <v>366</v>
      </c>
      <c r="C114" s="112"/>
      <c r="D114" s="112"/>
      <c r="E114" s="139"/>
    </row>
    <row r="115" spans="1:5" s="134" customFormat="1" ht="38.25" hidden="1" thickBot="1">
      <c r="A115" s="199">
        <v>15</v>
      </c>
      <c r="B115" s="138" t="s">
        <v>320</v>
      </c>
      <c r="C115" s="112"/>
      <c r="D115" s="112">
        <v>1</v>
      </c>
      <c r="E115" s="139"/>
    </row>
    <row r="116" spans="1:6" s="134" customFormat="1" ht="19.5" hidden="1" thickBot="1">
      <c r="A116" s="199"/>
      <c r="B116" s="140" t="s">
        <v>125</v>
      </c>
      <c r="C116" s="141" t="s">
        <v>126</v>
      </c>
      <c r="D116" s="141" t="s">
        <v>126</v>
      </c>
      <c r="E116" s="142">
        <f>SUM(E101:E115)</f>
        <v>0</v>
      </c>
      <c r="F116" s="143"/>
    </row>
    <row r="117" s="77" customFormat="1" ht="12.75" customHeight="1" hidden="1"/>
    <row r="118" spans="1:7" s="134" customFormat="1" ht="18.75" hidden="1">
      <c r="A118" s="402" t="s">
        <v>176</v>
      </c>
      <c r="B118" s="402"/>
      <c r="C118" s="402"/>
      <c r="D118" s="402"/>
      <c r="E118" s="402"/>
      <c r="F118" s="402"/>
      <c r="G118" s="402"/>
    </row>
    <row r="119" s="134" customFormat="1" ht="13.5" customHeight="1" hidden="1">
      <c r="A119" s="181"/>
    </row>
    <row r="120" s="134" customFormat="1" ht="18.75" hidden="1">
      <c r="A120" s="135"/>
    </row>
    <row r="121" spans="1:7" s="134" customFormat="1" ht="18.75" hidden="1">
      <c r="A121" s="411" t="s">
        <v>392</v>
      </c>
      <c r="B121" s="411"/>
      <c r="C121" s="411"/>
      <c r="D121" s="411"/>
      <c r="E121" s="411"/>
      <c r="F121" s="411"/>
      <c r="G121" s="411"/>
    </row>
    <row r="122" spans="1:7" s="134" customFormat="1" ht="18.75" hidden="1">
      <c r="A122" s="411" t="s">
        <v>292</v>
      </c>
      <c r="B122" s="411"/>
      <c r="C122" s="411"/>
      <c r="D122" s="411"/>
      <c r="E122" s="411"/>
      <c r="F122" s="411"/>
      <c r="G122" s="411"/>
    </row>
    <row r="123" s="134" customFormat="1" ht="0.75" customHeight="1" hidden="1" thickBot="1">
      <c r="A123" s="135"/>
    </row>
    <row r="124" spans="1:5" s="134" customFormat="1" ht="72.75" customHeight="1" hidden="1" thickBot="1">
      <c r="A124" s="136" t="s">
        <v>0</v>
      </c>
      <c r="B124" s="177" t="s">
        <v>127</v>
      </c>
      <c r="C124" s="177" t="s">
        <v>148</v>
      </c>
      <c r="D124" s="177" t="s">
        <v>149</v>
      </c>
      <c r="E124" s="177" t="s">
        <v>398</v>
      </c>
    </row>
    <row r="125" spans="1:5" s="134" customFormat="1" ht="19.5" hidden="1" thickBot="1">
      <c r="A125" s="199">
        <v>1</v>
      </c>
      <c r="B125" s="112">
        <v>2</v>
      </c>
      <c r="C125" s="112">
        <v>3</v>
      </c>
      <c r="D125" s="112">
        <v>4</v>
      </c>
      <c r="E125" s="112">
        <v>5</v>
      </c>
    </row>
    <row r="126" spans="1:24" s="134" customFormat="1" ht="19.5" hidden="1" thickBot="1">
      <c r="A126" s="199">
        <v>1</v>
      </c>
      <c r="B126" s="112" t="s">
        <v>293</v>
      </c>
      <c r="C126" s="139">
        <v>39828025.00000001</v>
      </c>
      <c r="D126" s="139">
        <v>2.2</v>
      </c>
      <c r="E126" s="182"/>
      <c r="H126" s="183"/>
      <c r="X126" s="134">
        <f>105614.75/0.022</f>
        <v>4800670.454545455</v>
      </c>
    </row>
    <row r="127" spans="1:5" s="134" customFormat="1" ht="27" customHeight="1" hidden="1" thickBot="1">
      <c r="A127" s="199">
        <v>2</v>
      </c>
      <c r="B127" s="112" t="s">
        <v>294</v>
      </c>
      <c r="C127" s="139">
        <v>680547.9266666666</v>
      </c>
      <c r="D127" s="139">
        <v>1.5</v>
      </c>
      <c r="E127" s="182"/>
    </row>
    <row r="128" spans="1:5" s="134" customFormat="1" ht="27" customHeight="1" hidden="1" thickBot="1">
      <c r="A128" s="199">
        <v>3</v>
      </c>
      <c r="B128" s="112" t="s">
        <v>382</v>
      </c>
      <c r="C128" s="139">
        <v>10080</v>
      </c>
      <c r="D128" s="139"/>
      <c r="E128" s="182"/>
    </row>
    <row r="129" spans="1:5" s="134" customFormat="1" ht="27" customHeight="1" hidden="1" thickBot="1">
      <c r="A129" s="199">
        <v>4</v>
      </c>
      <c r="B129" s="112" t="s">
        <v>382</v>
      </c>
      <c r="C129" s="139">
        <v>2520</v>
      </c>
      <c r="D129" s="139"/>
      <c r="E129" s="182"/>
    </row>
    <row r="130" spans="1:5" s="134" customFormat="1" ht="27" customHeight="1" hidden="1" thickBot="1">
      <c r="A130" s="199">
        <v>5</v>
      </c>
      <c r="B130" s="112" t="s">
        <v>406</v>
      </c>
      <c r="C130" s="139"/>
      <c r="D130" s="139"/>
      <c r="E130" s="182"/>
    </row>
    <row r="131" spans="1:5" s="134" customFormat="1" ht="19.5" hidden="1" thickBot="1">
      <c r="A131" s="199"/>
      <c r="B131" s="140" t="s">
        <v>125</v>
      </c>
      <c r="C131" s="142"/>
      <c r="D131" s="142" t="s">
        <v>126</v>
      </c>
      <c r="E131" s="142">
        <f>SUM(E126:E130)</f>
        <v>0</v>
      </c>
    </row>
    <row r="132" s="77" customFormat="1" ht="15" hidden="1"/>
    <row r="133" spans="1:5" s="134" customFormat="1" ht="24" customHeight="1" hidden="1">
      <c r="A133" s="408" t="s">
        <v>321</v>
      </c>
      <c r="B133" s="408"/>
      <c r="C133" s="408"/>
      <c r="D133" s="408"/>
      <c r="E133" s="408"/>
    </row>
    <row r="134" s="134" customFormat="1" ht="8.25" customHeight="1" hidden="1" thickBot="1">
      <c r="A134" s="135"/>
    </row>
    <row r="135" spans="1:4" s="134" customFormat="1" ht="38.25" hidden="1" thickBot="1">
      <c r="A135" s="136" t="s">
        <v>0</v>
      </c>
      <c r="B135" s="137" t="s">
        <v>127</v>
      </c>
      <c r="C135" s="137" t="s">
        <v>166</v>
      </c>
      <c r="D135" s="137" t="s">
        <v>167</v>
      </c>
    </row>
    <row r="136" spans="1:4" s="134" customFormat="1" ht="19.5" hidden="1" thickBot="1">
      <c r="A136" s="199">
        <v>1</v>
      </c>
      <c r="B136" s="112">
        <v>2</v>
      </c>
      <c r="C136" s="112">
        <v>3</v>
      </c>
      <c r="D136" s="112">
        <v>4</v>
      </c>
    </row>
    <row r="137" spans="1:4" s="134" customFormat="1" ht="45" customHeight="1" hidden="1" thickBot="1">
      <c r="A137" s="199">
        <v>1</v>
      </c>
      <c r="B137" s="138" t="s">
        <v>405</v>
      </c>
      <c r="C137" s="112">
        <v>1</v>
      </c>
      <c r="D137" s="139"/>
    </row>
    <row r="138" spans="1:5" s="134" customFormat="1" ht="19.5" hidden="1" thickBot="1">
      <c r="A138" s="199"/>
      <c r="B138" s="140" t="s">
        <v>125</v>
      </c>
      <c r="C138" s="141" t="s">
        <v>126</v>
      </c>
      <c r="D138" s="142">
        <f>SUM(D137:D137)</f>
        <v>0</v>
      </c>
      <c r="E138" s="143"/>
    </row>
    <row r="139" s="77" customFormat="1" ht="15" hidden="1"/>
    <row r="140" spans="1:6" s="77" customFormat="1" ht="34.5" customHeight="1">
      <c r="A140" s="420" t="s">
        <v>424</v>
      </c>
      <c r="B140" s="420"/>
      <c r="C140" s="420"/>
      <c r="D140" s="420"/>
      <c r="E140" s="420"/>
      <c r="F140" s="420"/>
    </row>
    <row r="141" s="77" customFormat="1" ht="15.75" thickBot="1"/>
    <row r="142" spans="1:5" s="77" customFormat="1" ht="32.25" thickBot="1">
      <c r="A142" s="79" t="s">
        <v>0</v>
      </c>
      <c r="B142" s="157" t="s">
        <v>127</v>
      </c>
      <c r="C142" s="157" t="s">
        <v>354</v>
      </c>
      <c r="D142" s="157" t="s">
        <v>168</v>
      </c>
      <c r="E142" s="157" t="s">
        <v>402</v>
      </c>
    </row>
    <row r="143" spans="1:5" s="77" customFormat="1" ht="19.5" thickBot="1">
      <c r="A143" s="200"/>
      <c r="B143" s="65">
        <v>1</v>
      </c>
      <c r="C143" s="65">
        <v>2</v>
      </c>
      <c r="D143" s="65">
        <v>3</v>
      </c>
      <c r="E143" s="65">
        <v>4</v>
      </c>
    </row>
    <row r="144" spans="1:5" s="77" customFormat="1" ht="29.25" customHeight="1" thickBot="1">
      <c r="A144" s="200">
        <v>1</v>
      </c>
      <c r="B144" s="93" t="s">
        <v>326</v>
      </c>
      <c r="C144" s="65"/>
      <c r="D144" s="89"/>
      <c r="E144" s="89">
        <f>SUM(E145:E146)</f>
        <v>426698.9999996949</v>
      </c>
    </row>
    <row r="145" spans="1:5" s="77" customFormat="1" ht="45.75" customHeight="1" thickBot="1">
      <c r="A145" s="200" t="s">
        <v>139</v>
      </c>
      <c r="B145" s="93" t="s">
        <v>355</v>
      </c>
      <c r="C145" s="251">
        <f>2013.395933-77.46289911</f>
        <v>1935.93303389</v>
      </c>
      <c r="D145" s="89">
        <v>220.41</v>
      </c>
      <c r="E145" s="89">
        <f>C145*D145</f>
        <v>426698.9999996949</v>
      </c>
    </row>
    <row r="146" spans="1:5" s="77" customFormat="1" ht="29.25" customHeight="1" thickBot="1">
      <c r="A146" s="200">
        <v>2</v>
      </c>
      <c r="B146" s="93" t="s">
        <v>356</v>
      </c>
      <c r="C146" s="65">
        <v>0</v>
      </c>
      <c r="D146" s="89">
        <f>D145/2</f>
        <v>110.205</v>
      </c>
      <c r="E146" s="89">
        <f>C146*D146</f>
        <v>0</v>
      </c>
    </row>
    <row r="147" spans="1:5" s="77" customFormat="1" ht="29.25" customHeight="1" thickBot="1">
      <c r="A147" s="198"/>
      <c r="B147" s="94" t="s">
        <v>327</v>
      </c>
      <c r="C147" s="72"/>
      <c r="D147" s="83"/>
      <c r="E147" s="83">
        <f>E144</f>
        <v>426698.9999996949</v>
      </c>
    </row>
    <row r="148" ht="3" customHeight="1"/>
    <row r="149" ht="15" hidden="1"/>
    <row r="150" spans="1:9" s="77" customFormat="1" ht="29.25" customHeight="1" thickBot="1">
      <c r="A150" s="420" t="s">
        <v>424</v>
      </c>
      <c r="B150" s="420"/>
      <c r="C150" s="420"/>
      <c r="D150" s="420"/>
      <c r="E150" s="420"/>
      <c r="F150" s="420"/>
      <c r="G150" s="420"/>
      <c r="H150" s="420"/>
      <c r="I150" s="420"/>
    </row>
    <row r="151" s="77" customFormat="1" ht="15.75" hidden="1" thickBot="1"/>
    <row r="152" spans="1:8" s="77" customFormat="1" ht="30.75" customHeight="1" thickBot="1">
      <c r="A152" s="421" t="s">
        <v>0</v>
      </c>
      <c r="B152" s="144" t="s">
        <v>127</v>
      </c>
      <c r="C152" s="426" t="s">
        <v>367</v>
      </c>
      <c r="D152" s="427"/>
      <c r="E152" s="426" t="s">
        <v>168</v>
      </c>
      <c r="F152" s="427"/>
      <c r="G152" s="421" t="s">
        <v>368</v>
      </c>
      <c r="H152" s="428" t="s">
        <v>403</v>
      </c>
    </row>
    <row r="153" spans="1:8" s="77" customFormat="1" ht="19.5" thickBot="1">
      <c r="A153" s="425"/>
      <c r="B153" s="64"/>
      <c r="C153" s="65" t="s">
        <v>369</v>
      </c>
      <c r="D153" s="65" t="s">
        <v>370</v>
      </c>
      <c r="E153" s="65" t="s">
        <v>369</v>
      </c>
      <c r="F153" s="65" t="s">
        <v>370</v>
      </c>
      <c r="G153" s="422"/>
      <c r="H153" s="429"/>
    </row>
    <row r="154" spans="1:8" s="77" customFormat="1" ht="19.5" thickBot="1">
      <c r="A154" s="422"/>
      <c r="B154" s="65">
        <v>1</v>
      </c>
      <c r="C154" s="65">
        <v>2</v>
      </c>
      <c r="D154" s="65">
        <v>3</v>
      </c>
      <c r="E154" s="65">
        <v>4</v>
      </c>
      <c r="F154" s="65">
        <v>5</v>
      </c>
      <c r="G154" s="65">
        <v>6</v>
      </c>
      <c r="H154" s="200">
        <v>7</v>
      </c>
    </row>
    <row r="155" spans="1:8" s="77" customFormat="1" ht="38.25" customHeight="1" thickBot="1">
      <c r="A155" s="200">
        <v>1</v>
      </c>
      <c r="B155" s="93" t="s">
        <v>391</v>
      </c>
      <c r="C155" s="65"/>
      <c r="D155" s="65"/>
      <c r="E155" s="89"/>
      <c r="F155" s="89"/>
      <c r="G155" s="89"/>
      <c r="H155" s="154">
        <f>SUM(H156:H159)</f>
        <v>4868660.610000303</v>
      </c>
    </row>
    <row r="156" spans="1:8" s="77" customFormat="1" ht="27.75" customHeight="1" thickBot="1">
      <c r="A156" s="200" t="s">
        <v>139</v>
      </c>
      <c r="B156" s="93" t="s">
        <v>371</v>
      </c>
      <c r="C156" s="112">
        <v>133</v>
      </c>
      <c r="D156" s="112">
        <v>41</v>
      </c>
      <c r="E156" s="89">
        <v>63</v>
      </c>
      <c r="F156" s="89">
        <v>73</v>
      </c>
      <c r="G156" s="254">
        <v>150</v>
      </c>
      <c r="H156" s="253">
        <f>((C156*E156)+(D156*F156))*150</f>
        <v>1705800</v>
      </c>
    </row>
    <row r="157" spans="1:8" s="77" customFormat="1" ht="26.25" customHeight="1" thickBot="1">
      <c r="A157" s="145" t="s">
        <v>141</v>
      </c>
      <c r="B157" s="93" t="s">
        <v>372</v>
      </c>
      <c r="C157" s="251">
        <f>131.5660333+6.805489694674</f>
        <v>138.371522994674</v>
      </c>
      <c r="D157" s="112">
        <v>36</v>
      </c>
      <c r="E157" s="89">
        <v>93.5</v>
      </c>
      <c r="F157" s="89">
        <v>113</v>
      </c>
      <c r="G157" s="254">
        <v>150</v>
      </c>
      <c r="H157" s="253">
        <f>((C157*E157)+(D157*F157))*150</f>
        <v>2550860.610000303</v>
      </c>
    </row>
    <row r="158" spans="1:8" s="77" customFormat="1" ht="27.75" customHeight="1" thickBot="1">
      <c r="A158" s="145" t="s">
        <v>373</v>
      </c>
      <c r="B158" s="93" t="s">
        <v>374</v>
      </c>
      <c r="C158" s="112">
        <v>66</v>
      </c>
      <c r="D158" s="112">
        <v>15</v>
      </c>
      <c r="E158" s="89">
        <v>50</v>
      </c>
      <c r="F158" s="89">
        <v>52</v>
      </c>
      <c r="G158" s="254">
        <v>150</v>
      </c>
      <c r="H158" s="253">
        <f>((C158*E158)+(D158*F158))*150</f>
        <v>612000</v>
      </c>
    </row>
    <row r="159" spans="1:8" s="77" customFormat="1" ht="37.5" customHeight="1" hidden="1" thickBot="1">
      <c r="A159" s="145" t="s">
        <v>375</v>
      </c>
      <c r="B159" s="93" t="s">
        <v>376</v>
      </c>
      <c r="C159" s="112">
        <v>41</v>
      </c>
      <c r="D159" s="112">
        <v>0</v>
      </c>
      <c r="E159" s="139">
        <v>0</v>
      </c>
      <c r="F159" s="139">
        <v>0</v>
      </c>
      <c r="G159" s="254">
        <v>67</v>
      </c>
      <c r="H159" s="253">
        <f>(C159*E159*F159)+(D159*E159*G159)</f>
        <v>0</v>
      </c>
    </row>
    <row r="160" spans="1:8" s="77" customFormat="1" ht="38.25" customHeight="1" thickBot="1">
      <c r="A160" s="145" t="s">
        <v>393</v>
      </c>
      <c r="B160" s="93" t="s">
        <v>469</v>
      </c>
      <c r="C160" s="112"/>
      <c r="D160" s="112"/>
      <c r="E160" s="139"/>
      <c r="F160" s="139"/>
      <c r="G160" s="254"/>
      <c r="H160" s="253">
        <v>982.85</v>
      </c>
    </row>
    <row r="161" spans="1:10" s="77" customFormat="1" ht="29.25" customHeight="1" thickBot="1">
      <c r="A161" s="146"/>
      <c r="B161" s="94" t="s">
        <v>327</v>
      </c>
      <c r="C161" s="72"/>
      <c r="D161" s="72"/>
      <c r="E161" s="83"/>
      <c r="F161" s="83"/>
      <c r="G161" s="83"/>
      <c r="H161" s="155">
        <f>H155+H160</f>
        <v>4869643.460000303</v>
      </c>
      <c r="J161" s="240"/>
    </row>
    <row r="167" spans="7:9" ht="15">
      <c r="G167" s="320">
        <f>E147+H161</f>
        <v>5296342.459999997</v>
      </c>
      <c r="H167" s="320">
        <f>5296342.46-G167</f>
        <v>0</v>
      </c>
      <c r="I167" s="321">
        <f>H167/E157/G157</f>
        <v>0</v>
      </c>
    </row>
  </sheetData>
  <sheetProtection/>
  <mergeCells count="42">
    <mergeCell ref="A150:I150"/>
    <mergeCell ref="A152:A154"/>
    <mergeCell ref="C152:D152"/>
    <mergeCell ref="E152:F152"/>
    <mergeCell ref="G152:G153"/>
    <mergeCell ref="H152:H153"/>
    <mergeCell ref="A97:E97"/>
    <mergeCell ref="A118:G118"/>
    <mergeCell ref="A121:G121"/>
    <mergeCell ref="A122:G122"/>
    <mergeCell ref="A133:E133"/>
    <mergeCell ref="A140:F140"/>
    <mergeCell ref="A60:F60"/>
    <mergeCell ref="A68:G68"/>
    <mergeCell ref="A71:G71"/>
    <mergeCell ref="A72:G72"/>
    <mergeCell ref="A80:I80"/>
    <mergeCell ref="A84:F84"/>
    <mergeCell ref="A45:E45"/>
    <mergeCell ref="A50:A51"/>
    <mergeCell ref="C50:C51"/>
    <mergeCell ref="D50:D51"/>
    <mergeCell ref="A57:F57"/>
    <mergeCell ref="A59:F59"/>
    <mergeCell ref="E21:G21"/>
    <mergeCell ref="A28:B28"/>
    <mergeCell ref="A31:F31"/>
    <mergeCell ref="A38:F38"/>
    <mergeCell ref="A20:A22"/>
    <mergeCell ref="B20:B22"/>
    <mergeCell ref="C20:C22"/>
    <mergeCell ref="D20:G20"/>
    <mergeCell ref="H20:H22"/>
    <mergeCell ref="I20:I22"/>
    <mergeCell ref="F1:G1"/>
    <mergeCell ref="A11:G11"/>
    <mergeCell ref="A13:J13"/>
    <mergeCell ref="A15:J15"/>
    <mergeCell ref="A16:J16"/>
    <mergeCell ref="A18:J18"/>
    <mergeCell ref="J20:J22"/>
    <mergeCell ref="D21:D2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4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2:L24"/>
  <sheetViews>
    <sheetView tabSelected="1" view="pageBreakPreview" zoomScale="60" zoomScaleNormal="55" zoomScalePageLayoutView="0" workbookViewId="0" topLeftCell="A4">
      <selection activeCell="I19" sqref="I19"/>
    </sheetView>
  </sheetViews>
  <sheetFormatPr defaultColWidth="28.8515625" defaultRowHeight="15"/>
  <cols>
    <col min="1" max="1" width="44.140625" style="98" customWidth="1"/>
    <col min="2" max="2" width="13.8515625" style="98" customWidth="1"/>
    <col min="3" max="3" width="58.28125" style="98" customWidth="1"/>
    <col min="4" max="4" width="42.8515625" style="98" customWidth="1"/>
    <col min="5" max="5" width="38.28125" style="98" customWidth="1"/>
    <col min="6" max="6" width="17.57421875" style="98" customWidth="1"/>
    <col min="7" max="7" width="18.57421875" style="98" hidden="1" customWidth="1"/>
    <col min="8" max="8" width="20.28125" style="98" customWidth="1"/>
    <col min="9" max="9" width="22.28125" style="98" customWidth="1"/>
    <col min="10" max="10" width="15.421875" style="98" customWidth="1"/>
    <col min="11" max="11" width="16.8515625" style="98" customWidth="1"/>
    <col min="12" max="12" width="23.8515625" style="98" customWidth="1"/>
    <col min="13" max="13" width="36.421875" style="98" customWidth="1"/>
    <col min="14" max="16384" width="28.8515625" style="98" customWidth="1"/>
  </cols>
  <sheetData>
    <row r="2" spans="5:12" s="127" customFormat="1" ht="15">
      <c r="E2" s="109"/>
      <c r="F2" s="109"/>
      <c r="G2" s="109"/>
      <c r="H2" s="109"/>
      <c r="J2" s="109"/>
      <c r="K2" s="109"/>
      <c r="L2" s="109"/>
    </row>
    <row r="3" spans="2:12" s="127" customFormat="1" ht="45" customHeight="1">
      <c r="B3" s="420" t="s">
        <v>387</v>
      </c>
      <c r="C3" s="420"/>
      <c r="D3" s="420"/>
      <c r="E3" s="420"/>
      <c r="F3" s="420"/>
      <c r="G3" s="109"/>
      <c r="H3" s="109"/>
      <c r="J3" s="109"/>
      <c r="K3" s="109"/>
      <c r="L3" s="109"/>
    </row>
    <row r="4" spans="2:12" s="127" customFormat="1" ht="18.75" customHeight="1">
      <c r="B4" s="420" t="s">
        <v>442</v>
      </c>
      <c r="C4" s="420"/>
      <c r="D4" s="420"/>
      <c r="E4" s="420"/>
      <c r="F4" s="420"/>
      <c r="G4" s="109"/>
      <c r="H4" s="109"/>
      <c r="J4" s="109"/>
      <c r="K4" s="109"/>
      <c r="L4" s="109"/>
    </row>
    <row r="5" spans="2:12" s="127" customFormat="1" ht="15">
      <c r="B5" s="366" t="s">
        <v>105</v>
      </c>
      <c r="C5" s="366"/>
      <c r="D5" s="366"/>
      <c r="E5" s="366"/>
      <c r="F5" s="366"/>
      <c r="G5" s="109"/>
      <c r="H5" s="109"/>
      <c r="J5" s="109"/>
      <c r="K5" s="109"/>
      <c r="L5" s="109"/>
    </row>
    <row r="6" spans="2:12" s="127" customFormat="1" ht="19.5" thickBot="1">
      <c r="B6" s="63"/>
      <c r="C6" s="63"/>
      <c r="D6" s="63"/>
      <c r="E6" s="109" t="s">
        <v>106</v>
      </c>
      <c r="F6" s="110"/>
      <c r="G6" s="109"/>
      <c r="H6" s="109"/>
      <c r="J6" s="109"/>
      <c r="K6" s="109"/>
      <c r="L6" s="109"/>
    </row>
    <row r="7" spans="3:12" s="127" customFormat="1" ht="18.75">
      <c r="C7" s="421" t="s">
        <v>1</v>
      </c>
      <c r="D7" s="421" t="s">
        <v>38</v>
      </c>
      <c r="E7" s="148" t="s">
        <v>101</v>
      </c>
      <c r="F7" s="109"/>
      <c r="G7" s="109"/>
      <c r="H7" s="109"/>
      <c r="J7" s="109"/>
      <c r="K7" s="109"/>
      <c r="L7" s="109"/>
    </row>
    <row r="8" spans="3:12" s="127" customFormat="1" ht="38.25" thickBot="1">
      <c r="C8" s="422"/>
      <c r="D8" s="422"/>
      <c r="E8" s="112" t="s">
        <v>102</v>
      </c>
      <c r="F8" s="109"/>
      <c r="G8" s="109"/>
      <c r="H8" s="109"/>
      <c r="J8" s="109"/>
      <c r="K8" s="109"/>
      <c r="L8" s="109"/>
    </row>
    <row r="9" spans="3:12" s="127" customFormat="1" ht="19.5" thickBot="1">
      <c r="C9" s="126">
        <v>1</v>
      </c>
      <c r="D9" s="65">
        <v>2</v>
      </c>
      <c r="E9" s="112">
        <v>3</v>
      </c>
      <c r="F9" s="109"/>
      <c r="G9" s="109"/>
      <c r="H9" s="109"/>
      <c r="J9" s="109"/>
      <c r="K9" s="109"/>
      <c r="L9" s="109"/>
    </row>
    <row r="10" spans="3:12" s="127" customFormat="1" ht="27" customHeight="1" thickBot="1">
      <c r="C10" s="64" t="s">
        <v>47</v>
      </c>
      <c r="D10" s="71" t="s">
        <v>243</v>
      </c>
      <c r="E10" s="149">
        <v>110242.98</v>
      </c>
      <c r="F10" s="109"/>
      <c r="G10" s="109"/>
      <c r="H10" s="109"/>
      <c r="J10" s="109"/>
      <c r="K10" s="109"/>
      <c r="L10" s="109"/>
    </row>
    <row r="11" spans="3:12" s="127" customFormat="1" ht="25.5" customHeight="1" thickBot="1">
      <c r="C11" s="64" t="s">
        <v>86</v>
      </c>
      <c r="D11" s="71" t="s">
        <v>254</v>
      </c>
      <c r="E11" s="149"/>
      <c r="F11" s="109"/>
      <c r="G11" s="109"/>
      <c r="H11" s="109"/>
      <c r="J11" s="109"/>
      <c r="K11" s="109"/>
      <c r="L11" s="109"/>
    </row>
    <row r="12" spans="3:12" s="127" customFormat="1" ht="19.5" thickBot="1">
      <c r="C12" s="64" t="s">
        <v>103</v>
      </c>
      <c r="D12" s="71" t="s">
        <v>264</v>
      </c>
      <c r="E12" s="112">
        <v>32549.38</v>
      </c>
      <c r="F12" s="109"/>
      <c r="G12" s="109"/>
      <c r="H12" s="109"/>
      <c r="J12" s="109"/>
      <c r="K12" s="109"/>
      <c r="L12" s="109"/>
    </row>
    <row r="13" spans="3:12" s="127" customFormat="1" ht="19.5" thickBot="1">
      <c r="C13" s="64"/>
      <c r="D13" s="151"/>
      <c r="E13" s="150"/>
      <c r="F13" s="109"/>
      <c r="G13" s="109"/>
      <c r="H13" s="109"/>
      <c r="J13" s="109"/>
      <c r="K13" s="109"/>
      <c r="L13" s="109"/>
    </row>
    <row r="14" spans="3:12" s="127" customFormat="1" ht="19.5" thickBot="1">
      <c r="C14" s="64" t="s">
        <v>104</v>
      </c>
      <c r="D14" s="71" t="s">
        <v>274</v>
      </c>
      <c r="E14" s="112">
        <v>12977.69</v>
      </c>
      <c r="F14" s="109"/>
      <c r="G14" s="109"/>
      <c r="H14" s="109"/>
      <c r="J14" s="109"/>
      <c r="K14" s="109"/>
      <c r="L14" s="109"/>
    </row>
    <row r="15" spans="3:12" s="127" customFormat="1" ht="19.5" thickBot="1">
      <c r="C15" s="64"/>
      <c r="D15" s="84"/>
      <c r="E15" s="150"/>
      <c r="F15" s="109"/>
      <c r="G15" s="109"/>
      <c r="H15" s="109"/>
      <c r="J15" s="109"/>
      <c r="K15" s="109"/>
      <c r="L15" s="109"/>
    </row>
    <row r="16" spans="5:12" s="127" customFormat="1" ht="15">
      <c r="E16" s="109"/>
      <c r="F16" s="109"/>
      <c r="G16" s="109"/>
      <c r="H16" s="109"/>
      <c r="J16" s="109"/>
      <c r="K16" s="109"/>
      <c r="L16" s="109"/>
    </row>
    <row r="17" spans="1:12" s="127" customFormat="1" ht="18.75">
      <c r="A17" s="88"/>
      <c r="E17" s="109"/>
      <c r="F17" s="109"/>
      <c r="G17" s="109"/>
      <c r="H17" s="109"/>
      <c r="J17" s="109"/>
      <c r="K17" s="109"/>
      <c r="L17" s="109"/>
    </row>
    <row r="18" spans="1:12" s="127" customFormat="1" ht="83.25" customHeight="1">
      <c r="A18" s="434"/>
      <c r="B18" s="434"/>
      <c r="C18" s="432"/>
      <c r="D18" s="432"/>
      <c r="E18" s="431"/>
      <c r="F18" s="431"/>
      <c r="G18" s="109"/>
      <c r="H18" s="109"/>
      <c r="J18" s="109"/>
      <c r="K18" s="109"/>
      <c r="L18" s="109"/>
    </row>
    <row r="19" spans="1:12" s="127" customFormat="1" ht="26.25" customHeight="1">
      <c r="A19" s="88"/>
      <c r="C19" s="430"/>
      <c r="D19" s="430"/>
      <c r="E19" s="109"/>
      <c r="F19" s="109"/>
      <c r="G19" s="109"/>
      <c r="H19" s="109"/>
      <c r="J19" s="109"/>
      <c r="K19" s="109"/>
      <c r="L19" s="109"/>
    </row>
    <row r="20" spans="1:12" s="127" customFormat="1" ht="18.75">
      <c r="A20" s="88"/>
      <c r="D20" s="152"/>
      <c r="E20" s="109"/>
      <c r="F20" s="109"/>
      <c r="G20" s="109"/>
      <c r="H20" s="109"/>
      <c r="J20" s="109"/>
      <c r="K20" s="109"/>
      <c r="L20" s="109"/>
    </row>
    <row r="21" spans="1:12" s="127" customFormat="1" ht="18.75">
      <c r="A21" s="88"/>
      <c r="E21" s="109"/>
      <c r="F21" s="109"/>
      <c r="G21" s="109"/>
      <c r="H21" s="109"/>
      <c r="J21" s="109"/>
      <c r="K21" s="109"/>
      <c r="L21" s="109"/>
    </row>
    <row r="22" spans="1:12" s="127" customFormat="1" ht="18.75">
      <c r="A22" s="88"/>
      <c r="E22" s="109"/>
      <c r="F22" s="109"/>
      <c r="G22" s="109"/>
      <c r="H22" s="109"/>
      <c r="J22" s="109"/>
      <c r="K22" s="109"/>
      <c r="L22" s="109"/>
    </row>
    <row r="23" spans="1:12" s="127" customFormat="1" ht="37.5" customHeight="1">
      <c r="A23" s="88"/>
      <c r="C23" s="433"/>
      <c r="D23" s="433"/>
      <c r="E23" s="431"/>
      <c r="F23" s="431"/>
      <c r="G23" s="109"/>
      <c r="H23" s="109"/>
      <c r="J23" s="109"/>
      <c r="K23" s="109"/>
      <c r="L23" s="109"/>
    </row>
    <row r="24" spans="1:12" s="127" customFormat="1" ht="45" customHeight="1">
      <c r="A24" s="88"/>
      <c r="C24" s="430"/>
      <c r="D24" s="430"/>
      <c r="E24" s="109"/>
      <c r="F24" s="109"/>
      <c r="G24" s="109"/>
      <c r="H24" s="109"/>
      <c r="J24" s="109"/>
      <c r="K24" s="109"/>
      <c r="L24" s="109"/>
    </row>
  </sheetData>
  <sheetProtection/>
  <mergeCells count="12">
    <mergeCell ref="E18:F18"/>
    <mergeCell ref="B4:F4"/>
    <mergeCell ref="C19:D19"/>
    <mergeCell ref="E23:F23"/>
    <mergeCell ref="C24:D24"/>
    <mergeCell ref="C18:D18"/>
    <mergeCell ref="C23:D23"/>
    <mergeCell ref="B3:F3"/>
    <mergeCell ref="B5:F5"/>
    <mergeCell ref="C7:C8"/>
    <mergeCell ref="D7:D8"/>
    <mergeCell ref="A18:B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1"/>
  <sheetViews>
    <sheetView view="pageBreakPreview" zoomScale="60" zoomScalePageLayoutView="0" workbookViewId="0" topLeftCell="A34">
      <selection activeCell="I39" sqref="I39"/>
    </sheetView>
  </sheetViews>
  <sheetFormatPr defaultColWidth="9.140625" defaultRowHeight="15"/>
  <cols>
    <col min="1" max="1" width="9.140625" style="26" customWidth="1"/>
    <col min="2" max="2" width="11.57421875" style="26" customWidth="1"/>
    <col min="3" max="3" width="19.421875" style="26" customWidth="1"/>
    <col min="4" max="4" width="11.8515625" style="26" customWidth="1"/>
    <col min="5" max="5" width="16.140625" style="26" customWidth="1"/>
    <col min="6" max="6" width="8.8515625" style="26" customWidth="1"/>
    <col min="7" max="7" width="9.140625" style="26" customWidth="1"/>
    <col min="8" max="8" width="14.140625" style="26" customWidth="1"/>
    <col min="9" max="9" width="17.28125" style="26" customWidth="1"/>
    <col min="10" max="10" width="12.7109375" style="26" customWidth="1"/>
    <col min="11" max="14" width="9.140625" style="26" customWidth="1"/>
    <col min="15" max="15" width="14.57421875" style="26" customWidth="1"/>
    <col min="16" max="16384" width="9.140625" style="26" customWidth="1"/>
  </cols>
  <sheetData>
    <row r="1" ht="18.75">
      <c r="J1" s="11" t="s">
        <v>177</v>
      </c>
    </row>
    <row r="2" ht="18.75">
      <c r="J2" s="11" t="s">
        <v>108</v>
      </c>
    </row>
    <row r="3" ht="16.5">
      <c r="J3" s="22" t="s">
        <v>109</v>
      </c>
    </row>
    <row r="4" ht="16.5">
      <c r="J4" s="22" t="s">
        <v>110</v>
      </c>
    </row>
    <row r="5" ht="16.5">
      <c r="J5" s="22" t="s">
        <v>111</v>
      </c>
    </row>
    <row r="6" ht="16.5">
      <c r="J6" s="22" t="s">
        <v>112</v>
      </c>
    </row>
    <row r="7" ht="16.5">
      <c r="J7" s="22" t="s">
        <v>113</v>
      </c>
    </row>
    <row r="8" ht="16.5">
      <c r="J8" s="22" t="s">
        <v>114</v>
      </c>
    </row>
    <row r="10" ht="15">
      <c r="J10" s="14" t="s">
        <v>178</v>
      </c>
    </row>
    <row r="11" spans="6:10" ht="15">
      <c r="F11" s="437"/>
      <c r="G11" s="437"/>
      <c r="H11" s="437"/>
      <c r="I11" s="437"/>
      <c r="J11" s="437"/>
    </row>
    <row r="12" spans="4:10" ht="18.75">
      <c r="D12" s="9" t="s">
        <v>203</v>
      </c>
      <c r="E12" s="9"/>
      <c r="F12" s="436" t="s">
        <v>204</v>
      </c>
      <c r="G12" s="436"/>
      <c r="H12" s="436"/>
      <c r="I12" s="436"/>
      <c r="J12" s="436"/>
    </row>
    <row r="13" spans="4:10" ht="24.75" customHeight="1">
      <c r="D13" s="9"/>
      <c r="E13" s="9"/>
      <c r="F13" s="447"/>
      <c r="G13" s="447"/>
      <c r="H13" s="447"/>
      <c r="I13" s="447"/>
      <c r="J13" s="447"/>
    </row>
    <row r="14" spans="6:10" ht="15">
      <c r="F14" s="436" t="s">
        <v>179</v>
      </c>
      <c r="G14" s="436"/>
      <c r="H14" s="436"/>
      <c r="I14" s="436"/>
      <c r="J14" s="436"/>
    </row>
    <row r="15" spans="4:10" ht="19.5" customHeight="1">
      <c r="D15" s="9"/>
      <c r="E15" s="9"/>
      <c r="F15" s="417" t="s">
        <v>180</v>
      </c>
      <c r="G15" s="417"/>
      <c r="H15" s="417"/>
      <c r="I15" s="417"/>
      <c r="J15" s="417"/>
    </row>
    <row r="16" spans="4:10" ht="15">
      <c r="D16" s="25"/>
      <c r="E16" s="25"/>
      <c r="F16" s="448" t="s">
        <v>181</v>
      </c>
      <c r="G16" s="448"/>
      <c r="H16" s="448"/>
      <c r="I16" s="448"/>
      <c r="J16" s="448"/>
    </row>
    <row r="17" spans="4:10" ht="30.75" customHeight="1">
      <c r="D17" s="9"/>
      <c r="E17" s="9"/>
      <c r="F17" s="417" t="s">
        <v>182</v>
      </c>
      <c r="G17" s="417"/>
      <c r="H17" s="417"/>
      <c r="I17" s="417"/>
      <c r="J17" s="417"/>
    </row>
    <row r="18" ht="15">
      <c r="G18" s="27"/>
    </row>
    <row r="19" spans="1:9" ht="15" customHeight="1">
      <c r="A19" s="417" t="s">
        <v>183</v>
      </c>
      <c r="B19" s="417"/>
      <c r="C19" s="417"/>
      <c r="D19" s="417"/>
      <c r="E19" s="417"/>
      <c r="F19" s="417"/>
      <c r="G19" s="417"/>
      <c r="H19" s="417"/>
      <c r="I19" s="417"/>
    </row>
    <row r="20" spans="1:9" ht="22.5" customHeight="1">
      <c r="A20" s="417" t="s">
        <v>184</v>
      </c>
      <c r="B20" s="417"/>
      <c r="C20" s="417"/>
      <c r="D20" s="417"/>
      <c r="E20" s="417"/>
      <c r="F20" s="417"/>
      <c r="G20" s="417"/>
      <c r="H20" s="417"/>
      <c r="I20" s="417"/>
    </row>
    <row r="21" spans="1:9" ht="26.25" customHeight="1">
      <c r="A21" s="417" t="s">
        <v>185</v>
      </c>
      <c r="B21" s="417"/>
      <c r="C21" s="417"/>
      <c r="D21" s="417"/>
      <c r="E21" s="417"/>
      <c r="F21" s="417"/>
      <c r="G21" s="417"/>
      <c r="H21" s="417"/>
      <c r="I21" s="417"/>
    </row>
    <row r="22" ht="15">
      <c r="E22" s="27"/>
    </row>
    <row r="23" ht="15">
      <c r="I23" s="34" t="s">
        <v>186</v>
      </c>
    </row>
    <row r="24" spans="7:9" ht="15">
      <c r="G24" s="438" t="s">
        <v>187</v>
      </c>
      <c r="H24" s="439"/>
      <c r="I24" s="34">
        <v>501016</v>
      </c>
    </row>
    <row r="25" spans="3:9" ht="15">
      <c r="C25" s="435" t="s">
        <v>193</v>
      </c>
      <c r="D25" s="435"/>
      <c r="E25" s="435"/>
      <c r="F25" s="435"/>
      <c r="G25" s="438" t="s">
        <v>30</v>
      </c>
      <c r="H25" s="439"/>
      <c r="I25" s="34"/>
    </row>
    <row r="26" spans="1:9" ht="49.5" customHeight="1">
      <c r="A26" s="446" t="s">
        <v>194</v>
      </c>
      <c r="B26" s="446"/>
      <c r="C26" s="446"/>
      <c r="D26" s="435" t="s">
        <v>195</v>
      </c>
      <c r="E26" s="435"/>
      <c r="F26" s="435"/>
      <c r="G26" s="438" t="s">
        <v>31</v>
      </c>
      <c r="H26" s="439"/>
      <c r="I26" s="34"/>
    </row>
    <row r="27" spans="1:9" ht="15">
      <c r="A27" s="29"/>
      <c r="B27" s="29"/>
      <c r="C27" s="29"/>
      <c r="D27" s="30"/>
      <c r="E27" s="30"/>
      <c r="F27" s="30"/>
      <c r="G27" s="31"/>
      <c r="H27" s="32"/>
      <c r="I27" s="440"/>
    </row>
    <row r="28" spans="3:9" ht="36.75" customHeight="1">
      <c r="C28" s="435" t="s">
        <v>196</v>
      </c>
      <c r="D28" s="449"/>
      <c r="E28" s="28"/>
      <c r="G28" s="438" t="s">
        <v>188</v>
      </c>
      <c r="H28" s="439"/>
      <c r="I28" s="441"/>
    </row>
    <row r="29" spans="1:9" ht="26.25" customHeight="1">
      <c r="A29" s="446" t="s">
        <v>197</v>
      </c>
      <c r="B29" s="446"/>
      <c r="C29" s="446"/>
      <c r="D29" s="435" t="s">
        <v>195</v>
      </c>
      <c r="E29" s="435"/>
      <c r="F29" s="435"/>
      <c r="G29" s="438" t="s">
        <v>189</v>
      </c>
      <c r="H29" s="439"/>
      <c r="I29" s="34"/>
    </row>
    <row r="30" spans="7:9" ht="15">
      <c r="G30" s="438"/>
      <c r="H30" s="439"/>
      <c r="I30" s="34"/>
    </row>
    <row r="31" spans="1:9" ht="48" customHeight="1">
      <c r="A31" s="446" t="s">
        <v>198</v>
      </c>
      <c r="B31" s="446"/>
      <c r="C31" s="446"/>
      <c r="D31" s="435" t="s">
        <v>195</v>
      </c>
      <c r="E31" s="435"/>
      <c r="F31" s="435"/>
      <c r="G31" s="438" t="s">
        <v>190</v>
      </c>
      <c r="H31" s="439"/>
      <c r="I31" s="34"/>
    </row>
    <row r="32" spans="1:9" ht="51" customHeight="1">
      <c r="A32" s="446" t="s">
        <v>199</v>
      </c>
      <c r="B32" s="446"/>
      <c r="C32" s="446"/>
      <c r="D32" s="435" t="s">
        <v>195</v>
      </c>
      <c r="E32" s="435"/>
      <c r="F32" s="435"/>
      <c r="G32" s="438" t="s">
        <v>31</v>
      </c>
      <c r="H32" s="439"/>
      <c r="I32" s="34"/>
    </row>
    <row r="33" spans="1:9" ht="27" customHeight="1">
      <c r="A33" s="26" t="s">
        <v>200</v>
      </c>
      <c r="G33" s="438" t="s">
        <v>191</v>
      </c>
      <c r="H33" s="439"/>
      <c r="I33" s="34"/>
    </row>
    <row r="34" spans="2:9" ht="27" customHeight="1">
      <c r="B34" s="443"/>
      <c r="C34" s="443"/>
      <c r="D34" s="443"/>
      <c r="E34" s="443"/>
      <c r="G34" s="31"/>
      <c r="H34" s="32"/>
      <c r="I34" s="442"/>
    </row>
    <row r="35" spans="2:9" ht="15">
      <c r="B35" s="435" t="s">
        <v>201</v>
      </c>
      <c r="C35" s="435"/>
      <c r="D35" s="435"/>
      <c r="E35" s="435"/>
      <c r="G35" s="438" t="s">
        <v>192</v>
      </c>
      <c r="H35" s="439"/>
      <c r="I35" s="442"/>
    </row>
    <row r="36" spans="7:9" ht="15">
      <c r="G36" s="444"/>
      <c r="H36" s="450"/>
      <c r="I36" s="33"/>
    </row>
    <row r="37" spans="4:9" ht="15">
      <c r="D37" s="444" t="s">
        <v>202</v>
      </c>
      <c r="E37" s="444"/>
      <c r="F37" s="444"/>
      <c r="G37" s="445"/>
      <c r="H37" s="451"/>
      <c r="I37" s="451"/>
    </row>
    <row r="39" ht="15.75" thickBot="1"/>
    <row r="40" spans="1:10" ht="186.75" customHeight="1" thickBot="1">
      <c r="A40" s="349" t="s">
        <v>205</v>
      </c>
      <c r="B40" s="349" t="s">
        <v>206</v>
      </c>
      <c r="C40" s="349" t="s">
        <v>39</v>
      </c>
      <c r="D40" s="349" t="s">
        <v>207</v>
      </c>
      <c r="E40" s="355" t="s">
        <v>208</v>
      </c>
      <c r="F40" s="357"/>
      <c r="G40" s="355" t="s">
        <v>209</v>
      </c>
      <c r="H40" s="357"/>
      <c r="I40" s="355" t="s">
        <v>210</v>
      </c>
      <c r="J40" s="357"/>
    </row>
    <row r="41" spans="1:10" ht="19.5" thickBot="1">
      <c r="A41" s="350"/>
      <c r="B41" s="350"/>
      <c r="C41" s="350"/>
      <c r="D41" s="350"/>
      <c r="E41" s="19" t="s">
        <v>211</v>
      </c>
      <c r="F41" s="19" t="s">
        <v>212</v>
      </c>
      <c r="G41" s="19" t="s">
        <v>211</v>
      </c>
      <c r="H41" s="19" t="s">
        <v>212</v>
      </c>
      <c r="I41" s="19" t="s">
        <v>213</v>
      </c>
      <c r="J41" s="19" t="s">
        <v>214</v>
      </c>
    </row>
    <row r="42" spans="1:10" ht="19.5" thickBot="1">
      <c r="A42" s="8">
        <v>1</v>
      </c>
      <c r="B42" s="19">
        <v>2</v>
      </c>
      <c r="C42" s="19">
        <v>3</v>
      </c>
      <c r="D42" s="19">
        <v>4</v>
      </c>
      <c r="E42" s="19">
        <v>5</v>
      </c>
      <c r="F42" s="19">
        <v>6</v>
      </c>
      <c r="G42" s="19">
        <v>7</v>
      </c>
      <c r="H42" s="19">
        <v>8</v>
      </c>
      <c r="I42" s="19">
        <v>9</v>
      </c>
      <c r="J42" s="19">
        <v>10</v>
      </c>
    </row>
    <row r="43" spans="1:10" ht="19.5" thickBot="1">
      <c r="A43" s="6"/>
      <c r="B43" s="4"/>
      <c r="C43" s="4"/>
      <c r="D43" s="4"/>
      <c r="E43" s="4"/>
      <c r="F43" s="4"/>
      <c r="G43" s="4"/>
      <c r="H43" s="4"/>
      <c r="I43" s="4"/>
      <c r="J43" s="4"/>
    </row>
    <row r="44" spans="1:10" ht="19.5" thickBot="1">
      <c r="A44" s="6"/>
      <c r="B44" s="4"/>
      <c r="C44" s="4"/>
      <c r="D44" s="4"/>
      <c r="E44" s="4"/>
      <c r="F44" s="4"/>
      <c r="G44" s="4"/>
      <c r="H44" s="4"/>
      <c r="I44" s="4"/>
      <c r="J44" s="4"/>
    </row>
    <row r="45" spans="1:10" ht="19.5" thickBot="1">
      <c r="A45" s="6"/>
      <c r="B45" s="4"/>
      <c r="C45" s="35"/>
      <c r="D45" s="37"/>
      <c r="E45" s="36" t="s">
        <v>41</v>
      </c>
      <c r="F45" s="4"/>
      <c r="G45" s="19" t="s">
        <v>48</v>
      </c>
      <c r="H45" s="4"/>
      <c r="I45" s="4"/>
      <c r="J45" s="4"/>
    </row>
    <row r="47" spans="1:4" ht="18.75">
      <c r="A47" s="452" t="s">
        <v>216</v>
      </c>
      <c r="B47" s="452"/>
      <c r="C47" s="452" t="s">
        <v>217</v>
      </c>
      <c r="D47" s="452"/>
    </row>
    <row r="48" spans="1:7" ht="18.75">
      <c r="A48" s="452" t="s">
        <v>218</v>
      </c>
      <c r="B48" s="452"/>
      <c r="C48" s="453" t="s">
        <v>225</v>
      </c>
      <c r="D48" s="453"/>
      <c r="E48" s="41"/>
      <c r="F48" s="41"/>
      <c r="G48" s="41"/>
    </row>
    <row r="49" spans="1:7" ht="18.75">
      <c r="A49" s="452" t="s">
        <v>219</v>
      </c>
      <c r="B49" s="452"/>
      <c r="C49" s="453" t="s">
        <v>220</v>
      </c>
      <c r="D49" s="453"/>
      <c r="E49" s="453"/>
      <c r="F49" s="453"/>
      <c r="G49" s="453"/>
    </row>
    <row r="50" spans="1:7" ht="15">
      <c r="A50" s="27"/>
      <c r="B50"/>
      <c r="C50" s="454" t="s">
        <v>221</v>
      </c>
      <c r="D50" s="454"/>
      <c r="E50" s="454"/>
      <c r="F50" s="454"/>
      <c r="G50" s="454"/>
    </row>
    <row r="51" spans="1:2" ht="15">
      <c r="A51" s="27"/>
      <c r="B51"/>
    </row>
    <row r="52" spans="1:16" ht="35.25" customHeight="1">
      <c r="A52" s="326" t="s">
        <v>223</v>
      </c>
      <c r="B52" s="326"/>
      <c r="C52" s="453" t="s">
        <v>220</v>
      </c>
      <c r="D52" s="453"/>
      <c r="E52" s="453"/>
      <c r="F52" s="453"/>
      <c r="G52" s="453"/>
      <c r="H52" s="446" t="s">
        <v>215</v>
      </c>
      <c r="I52" s="446"/>
      <c r="J52" s="446"/>
      <c r="K52" s="446"/>
      <c r="L52" s="446"/>
      <c r="M52" s="446"/>
      <c r="N52" s="446"/>
      <c r="O52" s="446"/>
      <c r="P52" s="446"/>
    </row>
    <row r="53" spans="1:7" ht="18.75">
      <c r="A53" s="38" t="s">
        <v>222</v>
      </c>
      <c r="B53" s="24"/>
      <c r="C53" s="454" t="s">
        <v>221</v>
      </c>
      <c r="D53" s="454"/>
      <c r="E53" s="454"/>
      <c r="F53" s="454"/>
      <c r="G53" s="454"/>
    </row>
    <row r="54" spans="1:16" ht="75" customHeight="1">
      <c r="A54" s="326" t="s">
        <v>224</v>
      </c>
      <c r="B54" s="326"/>
      <c r="C54" s="453" t="s">
        <v>226</v>
      </c>
      <c r="D54" s="453"/>
      <c r="E54" s="453"/>
      <c r="F54" s="453"/>
      <c r="G54" s="453"/>
      <c r="H54" s="455" t="s">
        <v>224</v>
      </c>
      <c r="I54" s="455"/>
      <c r="J54" s="435" t="s">
        <v>226</v>
      </c>
      <c r="K54" s="435"/>
      <c r="L54" s="435"/>
      <c r="M54" s="435"/>
      <c r="N54" s="435"/>
      <c r="O54" s="435"/>
      <c r="P54" s="435"/>
    </row>
    <row r="55" spans="1:10" ht="18.75">
      <c r="A55" s="38"/>
      <c r="B55" s="24"/>
      <c r="C55" s="456" t="s">
        <v>227</v>
      </c>
      <c r="D55" s="456"/>
      <c r="E55" s="456"/>
      <c r="F55" s="456"/>
      <c r="G55" s="456"/>
      <c r="J55" s="26" t="s">
        <v>228</v>
      </c>
    </row>
    <row r="56" spans="1:2" ht="18.75">
      <c r="A56" s="24"/>
      <c r="B56" s="39"/>
    </row>
    <row r="57" spans="1:11" ht="18.75">
      <c r="A57" s="326" t="s">
        <v>229</v>
      </c>
      <c r="B57" s="326"/>
      <c r="C57" s="326"/>
      <c r="D57" s="326"/>
      <c r="H57" s="453" t="s">
        <v>229</v>
      </c>
      <c r="I57" s="453"/>
      <c r="J57" s="453"/>
      <c r="K57" s="453"/>
    </row>
    <row r="58" spans="1:2" ht="18.75">
      <c r="A58" s="39"/>
      <c r="B58" s="24"/>
    </row>
    <row r="59" spans="1:2" ht="15">
      <c r="A59" s="39"/>
      <c r="B59" s="40"/>
    </row>
    <row r="60" spans="1:2" ht="18.75">
      <c r="A60" s="24"/>
      <c r="B60" s="40"/>
    </row>
    <row r="61" spans="1:2" ht="15">
      <c r="A61" s="39"/>
      <c r="B61" s="40"/>
    </row>
  </sheetData>
  <sheetProtection/>
  <mergeCells count="62">
    <mergeCell ref="J54:P54"/>
    <mergeCell ref="H54:I54"/>
    <mergeCell ref="A57:D57"/>
    <mergeCell ref="H57:K57"/>
    <mergeCell ref="H52:P52"/>
    <mergeCell ref="C55:G55"/>
    <mergeCell ref="C50:G50"/>
    <mergeCell ref="A52:B52"/>
    <mergeCell ref="C52:G52"/>
    <mergeCell ref="C53:G53"/>
    <mergeCell ref="A54:B54"/>
    <mergeCell ref="C54:G54"/>
    <mergeCell ref="I40:J40"/>
    <mergeCell ref="A48:B48"/>
    <mergeCell ref="A47:B47"/>
    <mergeCell ref="A49:B49"/>
    <mergeCell ref="C49:G49"/>
    <mergeCell ref="C48:D48"/>
    <mergeCell ref="C47:D47"/>
    <mergeCell ref="A40:A41"/>
    <mergeCell ref="B40:B41"/>
    <mergeCell ref="C40:C41"/>
    <mergeCell ref="D40:D41"/>
    <mergeCell ref="E40:F40"/>
    <mergeCell ref="G40:H40"/>
    <mergeCell ref="A29:C29"/>
    <mergeCell ref="D29:F29"/>
    <mergeCell ref="D31:F31"/>
    <mergeCell ref="A32:C32"/>
    <mergeCell ref="G35:H35"/>
    <mergeCell ref="G36:H36"/>
    <mergeCell ref="H37:I37"/>
    <mergeCell ref="F14:J14"/>
    <mergeCell ref="F13:J13"/>
    <mergeCell ref="F15:J15"/>
    <mergeCell ref="F16:J16"/>
    <mergeCell ref="F17:J17"/>
    <mergeCell ref="A31:C31"/>
    <mergeCell ref="D26:F26"/>
    <mergeCell ref="C28:D28"/>
    <mergeCell ref="G28:H28"/>
    <mergeCell ref="A21:I21"/>
    <mergeCell ref="I34:I35"/>
    <mergeCell ref="B35:E35"/>
    <mergeCell ref="B34:E34"/>
    <mergeCell ref="D37:G37"/>
    <mergeCell ref="G33:H33"/>
    <mergeCell ref="G24:H24"/>
    <mergeCell ref="G25:H25"/>
    <mergeCell ref="G26:H26"/>
    <mergeCell ref="C25:F25"/>
    <mergeCell ref="A26:C26"/>
    <mergeCell ref="D32:F32"/>
    <mergeCell ref="F12:J12"/>
    <mergeCell ref="F11:J11"/>
    <mergeCell ref="G29:H29"/>
    <mergeCell ref="G30:H30"/>
    <mergeCell ref="G31:H31"/>
    <mergeCell ref="G32:H32"/>
    <mergeCell ref="I27:I28"/>
    <mergeCell ref="A19:I19"/>
    <mergeCell ref="A20:I20"/>
  </mergeCells>
  <printOptions/>
  <pageMargins left="0.7" right="0.7" top="0.75" bottom="0.75" header="0.3" footer="0.3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94"/>
  <sheetViews>
    <sheetView view="pageBreakPreview" zoomScale="60" zoomScaleNormal="70" zoomScalePageLayoutView="0" workbookViewId="0" topLeftCell="A62">
      <selection activeCell="H90" sqref="H90"/>
    </sheetView>
  </sheetViews>
  <sheetFormatPr defaultColWidth="28.8515625" defaultRowHeight="15"/>
  <cols>
    <col min="1" max="1" width="77.140625" style="98" customWidth="1"/>
    <col min="2" max="2" width="9.57421875" style="98" customWidth="1"/>
    <col min="3" max="3" width="27.7109375" style="98" customWidth="1"/>
    <col min="4" max="4" width="32.140625" style="98" customWidth="1"/>
    <col min="5" max="5" width="21.57421875" style="98" customWidth="1"/>
    <col min="6" max="6" width="18.57421875" style="98" customWidth="1"/>
    <col min="7" max="7" width="21.140625" style="109" customWidth="1"/>
    <col min="8" max="8" width="20.28125" style="98" customWidth="1"/>
    <col min="9" max="9" width="22.28125" style="98" customWidth="1"/>
    <col min="10" max="10" width="21.421875" style="98" customWidth="1"/>
    <col min="11" max="11" width="16.8515625" style="98" customWidth="1"/>
    <col min="12" max="12" width="23.8515625" style="98" customWidth="1"/>
    <col min="13" max="13" width="36.421875" style="98" customWidth="1"/>
    <col min="14" max="16384" width="28.8515625" style="98" customWidth="1"/>
  </cols>
  <sheetData>
    <row r="1" spans="1:12" ht="18.75">
      <c r="A1" s="342" t="s">
        <v>99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</row>
    <row r="2" spans="1:12" ht="18.75">
      <c r="A2" s="342" t="s">
        <v>446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</row>
    <row r="3" ht="15.75" thickBot="1">
      <c r="L3" s="98" t="s">
        <v>100</v>
      </c>
    </row>
    <row r="4" spans="1:12" ht="19.5" thickBot="1">
      <c r="A4" s="349" t="s">
        <v>1</v>
      </c>
      <c r="B4" s="349" t="s">
        <v>38</v>
      </c>
      <c r="C4" s="349" t="s">
        <v>91</v>
      </c>
      <c r="D4" s="355" t="s">
        <v>92</v>
      </c>
      <c r="E4" s="356"/>
      <c r="F4" s="356"/>
      <c r="G4" s="356"/>
      <c r="H4" s="356"/>
      <c r="I4" s="356"/>
      <c r="J4" s="356"/>
      <c r="K4" s="356"/>
      <c r="L4" s="357"/>
    </row>
    <row r="5" spans="1:12" ht="19.5" thickBot="1">
      <c r="A5" s="354"/>
      <c r="B5" s="354"/>
      <c r="C5" s="354"/>
      <c r="D5" s="358" t="s">
        <v>93</v>
      </c>
      <c r="E5" s="359"/>
      <c r="F5" s="360"/>
      <c r="G5" s="355" t="s">
        <v>22</v>
      </c>
      <c r="H5" s="356"/>
      <c r="I5" s="356"/>
      <c r="J5" s="356"/>
      <c r="K5" s="356"/>
      <c r="L5" s="357"/>
    </row>
    <row r="6" spans="1:12" ht="54" customHeight="1" thickBot="1">
      <c r="A6" s="354"/>
      <c r="B6" s="354"/>
      <c r="C6" s="354"/>
      <c r="D6" s="361"/>
      <c r="E6" s="362"/>
      <c r="F6" s="363"/>
      <c r="G6" s="351" t="s">
        <v>94</v>
      </c>
      <c r="H6" s="352"/>
      <c r="I6" s="353"/>
      <c r="J6" s="351" t="s">
        <v>95</v>
      </c>
      <c r="K6" s="352"/>
      <c r="L6" s="353"/>
    </row>
    <row r="7" spans="1:12" ht="46.5" customHeight="1" thickBot="1">
      <c r="A7" s="350"/>
      <c r="B7" s="350"/>
      <c r="C7" s="350"/>
      <c r="D7" s="156" t="s">
        <v>447</v>
      </c>
      <c r="E7" s="156" t="s">
        <v>448</v>
      </c>
      <c r="F7" s="156" t="s">
        <v>449</v>
      </c>
      <c r="G7" s="156" t="s">
        <v>447</v>
      </c>
      <c r="H7" s="156" t="s">
        <v>448</v>
      </c>
      <c r="I7" s="156" t="s">
        <v>449</v>
      </c>
      <c r="J7" s="156" t="s">
        <v>447</v>
      </c>
      <c r="K7" s="156" t="s">
        <v>448</v>
      </c>
      <c r="L7" s="156" t="s">
        <v>449</v>
      </c>
    </row>
    <row r="8" spans="1:12" ht="19.5" thickBot="1">
      <c r="A8" s="260">
        <v>1</v>
      </c>
      <c r="B8" s="261">
        <v>2</v>
      </c>
      <c r="C8" s="261">
        <v>3</v>
      </c>
      <c r="D8" s="261">
        <v>4</v>
      </c>
      <c r="E8" s="261">
        <v>5</v>
      </c>
      <c r="F8" s="261">
        <v>6</v>
      </c>
      <c r="G8" s="112">
        <v>7</v>
      </c>
      <c r="H8" s="261">
        <v>8</v>
      </c>
      <c r="I8" s="261">
        <v>9</v>
      </c>
      <c r="J8" s="261">
        <v>10</v>
      </c>
      <c r="K8" s="261">
        <v>11</v>
      </c>
      <c r="L8" s="261">
        <v>12</v>
      </c>
    </row>
    <row r="9" spans="1:14" ht="36.75" customHeight="1" thickBot="1">
      <c r="A9" s="259" t="s">
        <v>96</v>
      </c>
      <c r="B9" s="43" t="s">
        <v>276</v>
      </c>
      <c r="C9" s="261" t="s">
        <v>48</v>
      </c>
      <c r="D9" s="163">
        <f>D10+D27</f>
        <v>19884458.95599954</v>
      </c>
      <c r="E9" s="163">
        <f>H9</f>
        <v>16724116.799999999</v>
      </c>
      <c r="F9" s="163">
        <f>I9</f>
        <v>16922753.39</v>
      </c>
      <c r="G9" s="163">
        <f>G10+G27</f>
        <v>19884458.95599954</v>
      </c>
      <c r="H9" s="163">
        <f>H10+H27</f>
        <v>16724116.799999999</v>
      </c>
      <c r="I9" s="163">
        <f>I10+I27</f>
        <v>16922753.39</v>
      </c>
      <c r="J9" s="48"/>
      <c r="K9" s="48"/>
      <c r="L9" s="48"/>
      <c r="M9" s="98" t="s">
        <v>277</v>
      </c>
      <c r="N9" s="95"/>
    </row>
    <row r="10" spans="1:12" s="100" customFormat="1" ht="36.75" customHeight="1" thickBot="1">
      <c r="A10" s="216" t="s">
        <v>97</v>
      </c>
      <c r="B10" s="213">
        <v>1001</v>
      </c>
      <c r="C10" s="213" t="s">
        <v>48</v>
      </c>
      <c r="D10" s="215">
        <f aca="true" t="shared" si="0" ref="D10:I10">SUM(D11:D26)</f>
        <v>5408795.486</v>
      </c>
      <c r="E10" s="215">
        <f t="shared" si="0"/>
        <v>0</v>
      </c>
      <c r="F10" s="215">
        <f t="shared" si="0"/>
        <v>0</v>
      </c>
      <c r="G10" s="215">
        <f t="shared" si="0"/>
        <v>5408795.486</v>
      </c>
      <c r="H10" s="215">
        <f t="shared" si="0"/>
        <v>0</v>
      </c>
      <c r="I10" s="215">
        <f t="shared" si="0"/>
        <v>0</v>
      </c>
      <c r="J10" s="215"/>
      <c r="K10" s="215"/>
      <c r="L10" s="215"/>
    </row>
    <row r="11" spans="1:13" s="109" customFormat="1" ht="21.75" customHeight="1" thickBot="1">
      <c r="A11" s="111" t="s">
        <v>339</v>
      </c>
      <c r="B11" s="112"/>
      <c r="C11" s="150"/>
      <c r="D11" s="113">
        <f>G11</f>
        <v>59199.996</v>
      </c>
      <c r="E11" s="113">
        <f>H11</f>
        <v>0</v>
      </c>
      <c r="F11" s="113">
        <f>I11</f>
        <v>0</v>
      </c>
      <c r="G11" s="113">
        <f>'мунзад 19'!F97</f>
        <v>59199.996</v>
      </c>
      <c r="H11" s="113">
        <f>'мунзад 20'!F80</f>
        <v>0</v>
      </c>
      <c r="I11" s="113">
        <f>'мунзад 21'!F80</f>
        <v>0</v>
      </c>
      <c r="J11" s="113"/>
      <c r="K11" s="113"/>
      <c r="L11" s="113"/>
      <c r="M11" s="166"/>
    </row>
    <row r="12" spans="1:12" s="217" customFormat="1" ht="19.5" customHeight="1" thickBot="1">
      <c r="A12" s="111" t="s">
        <v>303</v>
      </c>
      <c r="B12" s="65"/>
      <c r="C12" s="65"/>
      <c r="D12" s="66">
        <f aca="true" t="shared" si="1" ref="D12:D26">G12</f>
        <v>3745280.2999999993</v>
      </c>
      <c r="E12" s="66">
        <v>0</v>
      </c>
      <c r="F12" s="66">
        <v>0</v>
      </c>
      <c r="G12" s="113">
        <f>'мунзад 19'!G110</f>
        <v>3745280.2999999993</v>
      </c>
      <c r="H12" s="66">
        <v>0</v>
      </c>
      <c r="I12" s="66">
        <v>0</v>
      </c>
      <c r="J12" s="66"/>
      <c r="K12" s="66"/>
      <c r="L12" s="66"/>
    </row>
    <row r="13" spans="1:12" s="217" customFormat="1" ht="19.5" customHeight="1" thickBot="1">
      <c r="A13" s="111" t="s">
        <v>305</v>
      </c>
      <c r="B13" s="65"/>
      <c r="C13" s="65"/>
      <c r="D13" s="66">
        <f t="shared" si="1"/>
        <v>229775.83000000002</v>
      </c>
      <c r="E13" s="66">
        <v>0</v>
      </c>
      <c r="F13" s="66">
        <v>0</v>
      </c>
      <c r="G13" s="113">
        <f>'мунзад 19'!G111</f>
        <v>229775.83000000002</v>
      </c>
      <c r="H13" s="66">
        <v>0</v>
      </c>
      <c r="I13" s="66">
        <v>0</v>
      </c>
      <c r="J13" s="66"/>
      <c r="K13" s="66"/>
      <c r="L13" s="66"/>
    </row>
    <row r="14" spans="1:12" s="217" customFormat="1" ht="19.5" customHeight="1" thickBot="1">
      <c r="A14" s="111" t="s">
        <v>310</v>
      </c>
      <c r="B14" s="65"/>
      <c r="C14" s="65"/>
      <c r="D14" s="66">
        <f t="shared" si="1"/>
        <v>29365.52</v>
      </c>
      <c r="E14" s="66">
        <v>0</v>
      </c>
      <c r="F14" s="66">
        <v>0</v>
      </c>
      <c r="G14" s="113">
        <f>'мунзад 19'!G115</f>
        <v>29365.52</v>
      </c>
      <c r="H14" s="66">
        <v>0</v>
      </c>
      <c r="I14" s="66">
        <v>0</v>
      </c>
      <c r="J14" s="66"/>
      <c r="K14" s="66"/>
      <c r="L14" s="66"/>
    </row>
    <row r="15" spans="1:12" s="217" customFormat="1" ht="19.5" customHeight="1" thickBot="1">
      <c r="A15" s="111" t="s">
        <v>306</v>
      </c>
      <c r="B15" s="65"/>
      <c r="C15" s="65"/>
      <c r="D15" s="66">
        <f t="shared" si="1"/>
        <v>604585.5800000001</v>
      </c>
      <c r="E15" s="66">
        <v>0</v>
      </c>
      <c r="F15" s="66">
        <v>0</v>
      </c>
      <c r="G15" s="113">
        <f>'мунзад 19'!G112</f>
        <v>604585.5800000001</v>
      </c>
      <c r="H15" s="66">
        <v>0</v>
      </c>
      <c r="I15" s="66">
        <v>0</v>
      </c>
      <c r="J15" s="66"/>
      <c r="K15" s="66"/>
      <c r="L15" s="66"/>
    </row>
    <row r="16" spans="1:12" s="153" customFormat="1" ht="19.5" customHeight="1" hidden="1" thickBot="1">
      <c r="A16" s="162" t="s">
        <v>316</v>
      </c>
      <c r="B16" s="65"/>
      <c r="C16" s="65"/>
      <c r="D16" s="66">
        <f>G16</f>
        <v>0</v>
      </c>
      <c r="E16" s="66">
        <v>0</v>
      </c>
      <c r="F16" s="66">
        <v>0</v>
      </c>
      <c r="G16" s="113"/>
      <c r="H16" s="66">
        <v>0</v>
      </c>
      <c r="I16" s="66">
        <v>0</v>
      </c>
      <c r="J16" s="66"/>
      <c r="K16" s="66"/>
      <c r="L16" s="66"/>
    </row>
    <row r="17" spans="1:12" s="109" customFormat="1" ht="21.75" customHeight="1" thickBot="1">
      <c r="A17" s="162" t="s">
        <v>320</v>
      </c>
      <c r="B17" s="112"/>
      <c r="C17" s="150"/>
      <c r="D17" s="113">
        <f>G17</f>
        <v>23296.71</v>
      </c>
      <c r="E17" s="113">
        <f aca="true" t="shared" si="2" ref="E17:F19">H17</f>
        <v>0</v>
      </c>
      <c r="F17" s="113">
        <f t="shared" si="2"/>
        <v>0</v>
      </c>
      <c r="G17" s="113">
        <f>'мунзад 19'!E140</f>
        <v>23296.71</v>
      </c>
      <c r="H17" s="113">
        <v>0</v>
      </c>
      <c r="I17" s="113">
        <v>0</v>
      </c>
      <c r="J17" s="113"/>
      <c r="K17" s="113"/>
      <c r="L17" s="113"/>
    </row>
    <row r="18" spans="1:12" s="109" customFormat="1" ht="21.75" customHeight="1" thickBot="1">
      <c r="A18" s="162" t="s">
        <v>468</v>
      </c>
      <c r="B18" s="112"/>
      <c r="C18" s="150"/>
      <c r="D18" s="113">
        <f t="shared" si="1"/>
        <v>60000</v>
      </c>
      <c r="E18" s="113">
        <f t="shared" si="2"/>
        <v>0</v>
      </c>
      <c r="F18" s="113">
        <f t="shared" si="2"/>
        <v>0</v>
      </c>
      <c r="G18" s="113">
        <f>'мунзад 19'!E143</f>
        <v>60000</v>
      </c>
      <c r="H18" s="113">
        <v>0</v>
      </c>
      <c r="I18" s="113">
        <v>0</v>
      </c>
      <c r="J18" s="113"/>
      <c r="K18" s="113"/>
      <c r="L18" s="113"/>
    </row>
    <row r="19" spans="1:12" s="109" customFormat="1" ht="21.75" customHeight="1" thickBot="1">
      <c r="A19" s="162" t="s">
        <v>329</v>
      </c>
      <c r="B19" s="112"/>
      <c r="C19" s="150"/>
      <c r="D19" s="113">
        <f t="shared" si="1"/>
        <v>156000</v>
      </c>
      <c r="E19" s="113">
        <f t="shared" si="2"/>
        <v>0</v>
      </c>
      <c r="F19" s="113">
        <f t="shared" si="2"/>
        <v>0</v>
      </c>
      <c r="G19" s="113">
        <f>'мунзад 19'!E131</f>
        <v>156000</v>
      </c>
      <c r="H19" s="113">
        <v>0</v>
      </c>
      <c r="I19" s="113">
        <v>0</v>
      </c>
      <c r="J19" s="113"/>
      <c r="K19" s="113"/>
      <c r="L19" s="113"/>
    </row>
    <row r="20" spans="1:12" s="109" customFormat="1" ht="25.5" customHeight="1" thickBot="1">
      <c r="A20" s="111" t="s">
        <v>340</v>
      </c>
      <c r="B20" s="112"/>
      <c r="C20" s="112"/>
      <c r="D20" s="66">
        <f t="shared" si="1"/>
        <v>110460</v>
      </c>
      <c r="E20" s="66">
        <v>0</v>
      </c>
      <c r="F20" s="66">
        <v>0</v>
      </c>
      <c r="G20" s="113">
        <f>'мунзад 19'!E130</f>
        <v>110460</v>
      </c>
      <c r="H20" s="66">
        <v>0</v>
      </c>
      <c r="I20" s="66">
        <v>0</v>
      </c>
      <c r="J20" s="113"/>
      <c r="K20" s="113"/>
      <c r="L20" s="113"/>
    </row>
    <row r="21" spans="1:13" s="109" customFormat="1" ht="25.5" customHeight="1" thickBot="1">
      <c r="A21" s="162" t="s">
        <v>389</v>
      </c>
      <c r="B21" s="112"/>
      <c r="C21" s="112"/>
      <c r="D21" s="66">
        <f t="shared" si="1"/>
        <v>16752.84</v>
      </c>
      <c r="E21" s="66">
        <v>0</v>
      </c>
      <c r="F21" s="66">
        <v>0</v>
      </c>
      <c r="G21" s="113">
        <f>'мунзад 19'!E133</f>
        <v>16752.84</v>
      </c>
      <c r="H21" s="66">
        <v>0</v>
      </c>
      <c r="I21" s="66">
        <v>0</v>
      </c>
      <c r="J21" s="113"/>
      <c r="K21" s="113"/>
      <c r="L21" s="113"/>
      <c r="M21" s="166">
        <f>G9-'2019'!D47</f>
        <v>0</v>
      </c>
    </row>
    <row r="22" spans="1:13" s="109" customFormat="1" ht="25.5" customHeight="1" thickBot="1">
      <c r="A22" s="162" t="s">
        <v>467</v>
      </c>
      <c r="B22" s="112"/>
      <c r="C22" s="112"/>
      <c r="D22" s="66">
        <f t="shared" si="1"/>
        <v>120000</v>
      </c>
      <c r="E22" s="66">
        <v>0</v>
      </c>
      <c r="F22" s="66">
        <v>0</v>
      </c>
      <c r="G22" s="113">
        <f>'мунзад 19'!E135</f>
        <v>120000</v>
      </c>
      <c r="H22" s="66">
        <v>0</v>
      </c>
      <c r="I22" s="66">
        <v>0</v>
      </c>
      <c r="J22" s="113"/>
      <c r="K22" s="113"/>
      <c r="L22" s="113"/>
      <c r="M22" s="166">
        <f>H9-'2020'!D47</f>
        <v>0</v>
      </c>
    </row>
    <row r="23" spans="1:13" s="109" customFormat="1" ht="24" customHeight="1" thickBot="1">
      <c r="A23" s="162" t="s">
        <v>317</v>
      </c>
      <c r="B23" s="112"/>
      <c r="C23" s="112"/>
      <c r="D23" s="66">
        <f t="shared" si="1"/>
        <v>50000</v>
      </c>
      <c r="E23" s="66">
        <v>0</v>
      </c>
      <c r="F23" s="66">
        <v>0</v>
      </c>
      <c r="G23" s="113">
        <v>50000</v>
      </c>
      <c r="H23" s="66">
        <v>0</v>
      </c>
      <c r="I23" s="66">
        <v>0</v>
      </c>
      <c r="J23" s="113"/>
      <c r="K23" s="113"/>
      <c r="L23" s="113"/>
      <c r="M23" s="166">
        <f>I9-'2021'!D47</f>
        <v>0</v>
      </c>
    </row>
    <row r="24" spans="1:12" s="109" customFormat="1" ht="21.75" customHeight="1" thickBot="1">
      <c r="A24" s="162" t="s">
        <v>344</v>
      </c>
      <c r="B24" s="112"/>
      <c r="C24" s="150"/>
      <c r="D24" s="113">
        <f t="shared" si="1"/>
        <v>53956.79</v>
      </c>
      <c r="E24" s="113">
        <f>H24</f>
        <v>0</v>
      </c>
      <c r="F24" s="113">
        <f>I24</f>
        <v>0</v>
      </c>
      <c r="G24" s="113">
        <f>'мунзад 19'!E132</f>
        <v>53956.79</v>
      </c>
      <c r="H24" s="113">
        <f>'мунзад 20'!E116</f>
        <v>0</v>
      </c>
      <c r="I24" s="113">
        <f>'мунзад 21'!E116</f>
        <v>0</v>
      </c>
      <c r="J24" s="113"/>
      <c r="K24" s="113"/>
      <c r="L24" s="113"/>
    </row>
    <row r="25" spans="1:12" s="109" customFormat="1" ht="24" customHeight="1" thickBot="1">
      <c r="A25" s="111" t="s">
        <v>322</v>
      </c>
      <c r="B25" s="112"/>
      <c r="C25" s="112"/>
      <c r="D25" s="66">
        <f t="shared" si="1"/>
        <v>150121.92</v>
      </c>
      <c r="E25" s="66">
        <v>0</v>
      </c>
      <c r="F25" s="66">
        <v>0</v>
      </c>
      <c r="G25" s="113">
        <f>'мунзад 19'!D159</f>
        <v>150121.92</v>
      </c>
      <c r="H25" s="66">
        <v>0</v>
      </c>
      <c r="I25" s="66">
        <v>0</v>
      </c>
      <c r="J25" s="113"/>
      <c r="K25" s="113"/>
      <c r="L25" s="113"/>
    </row>
    <row r="26" spans="1:12" s="153" customFormat="1" ht="24" customHeight="1" hidden="1" thickBot="1">
      <c r="A26" s="111" t="s">
        <v>391</v>
      </c>
      <c r="B26" s="65"/>
      <c r="C26" s="65"/>
      <c r="D26" s="66">
        <f t="shared" si="1"/>
        <v>0</v>
      </c>
      <c r="E26" s="66">
        <v>0</v>
      </c>
      <c r="F26" s="66">
        <v>0</v>
      </c>
      <c r="G26" s="113">
        <v>0</v>
      </c>
      <c r="H26" s="66">
        <v>0</v>
      </c>
      <c r="I26" s="66">
        <v>0</v>
      </c>
      <c r="J26" s="66"/>
      <c r="K26" s="66"/>
      <c r="L26" s="66"/>
    </row>
    <row r="27" spans="1:14" s="212" customFormat="1" ht="24" customHeight="1" thickBot="1">
      <c r="A27" s="216" t="s">
        <v>98</v>
      </c>
      <c r="B27" s="213">
        <v>2001</v>
      </c>
      <c r="C27" s="214"/>
      <c r="D27" s="215">
        <f>SUM(D28:D83)</f>
        <v>14475663.469999537</v>
      </c>
      <c r="E27" s="215">
        <f>H27</f>
        <v>16724116.799999999</v>
      </c>
      <c r="F27" s="215">
        <f>I27</f>
        <v>16922753.39</v>
      </c>
      <c r="G27" s="215">
        <f>SUM(G28:G83)</f>
        <v>14475663.469999537</v>
      </c>
      <c r="H27" s="215">
        <f>SUM(H28:H83)</f>
        <v>16724116.799999999</v>
      </c>
      <c r="I27" s="215">
        <f>SUM(I28:I83)</f>
        <v>16922753.39</v>
      </c>
      <c r="J27" s="215"/>
      <c r="K27" s="215"/>
      <c r="L27" s="215"/>
      <c r="M27" s="211"/>
      <c r="N27" s="211"/>
    </row>
    <row r="28" spans="1:13" s="109" customFormat="1" ht="21.75" customHeight="1" thickBot="1">
      <c r="A28" s="111" t="s">
        <v>339</v>
      </c>
      <c r="B28" s="112"/>
      <c r="C28" s="150"/>
      <c r="D28" s="113">
        <f>G28</f>
        <v>0</v>
      </c>
      <c r="E28" s="113">
        <f>H28</f>
        <v>72000</v>
      </c>
      <c r="F28" s="113">
        <f>I28</f>
        <v>72000</v>
      </c>
      <c r="G28" s="113">
        <v>0</v>
      </c>
      <c r="H28" s="113">
        <f>'мунзад 20'!F96</f>
        <v>72000</v>
      </c>
      <c r="I28" s="113">
        <f>'мунзад 21'!F96</f>
        <v>72000</v>
      </c>
      <c r="J28" s="113"/>
      <c r="K28" s="113"/>
      <c r="L28" s="113"/>
      <c r="M28" s="166"/>
    </row>
    <row r="29" spans="1:12" s="109" customFormat="1" ht="21.75" customHeight="1" thickBot="1">
      <c r="A29" s="111" t="s">
        <v>303</v>
      </c>
      <c r="B29" s="112"/>
      <c r="C29" s="150"/>
      <c r="D29" s="113">
        <f aca="true" t="shared" si="3" ref="D29:D81">G29</f>
        <v>0</v>
      </c>
      <c r="E29" s="113">
        <f aca="true" t="shared" si="4" ref="E29:E83">H29</f>
        <v>3895090.57</v>
      </c>
      <c r="F29" s="113">
        <f aca="true" t="shared" si="5" ref="F29:F83">I29</f>
        <v>4050892.79</v>
      </c>
      <c r="G29" s="113">
        <v>0</v>
      </c>
      <c r="H29" s="113">
        <f>'мунзад 20'!G109+'приносяш 2020'!G88</f>
        <v>3895090.57</v>
      </c>
      <c r="I29" s="113">
        <f>'мунзад 21'!G109+'приносяш 2021'!G88</f>
        <v>4050892.79</v>
      </c>
      <c r="J29" s="113"/>
      <c r="K29" s="113"/>
      <c r="L29" s="113"/>
    </row>
    <row r="30" spans="1:12" s="109" customFormat="1" ht="21.75" customHeight="1" thickBot="1">
      <c r="A30" s="111" t="s">
        <v>305</v>
      </c>
      <c r="B30" s="112"/>
      <c r="C30" s="150"/>
      <c r="D30" s="113">
        <f t="shared" si="3"/>
        <v>0</v>
      </c>
      <c r="E30" s="113">
        <f t="shared" si="4"/>
        <v>238966.78</v>
      </c>
      <c r="F30" s="113">
        <f t="shared" si="5"/>
        <v>248525.41</v>
      </c>
      <c r="G30" s="113">
        <v>0</v>
      </c>
      <c r="H30" s="113">
        <f>'мунзад 20'!G110</f>
        <v>238966.78</v>
      </c>
      <c r="I30" s="113">
        <f>'мунзад 21'!G110</f>
        <v>248525.41</v>
      </c>
      <c r="J30" s="113"/>
      <c r="K30" s="113"/>
      <c r="L30" s="113"/>
    </row>
    <row r="31" spans="1:12" s="109" customFormat="1" ht="21.75" customHeight="1" thickBot="1">
      <c r="A31" s="111" t="s">
        <v>310</v>
      </c>
      <c r="B31" s="112"/>
      <c r="C31" s="150"/>
      <c r="D31" s="113">
        <f t="shared" si="3"/>
        <v>0</v>
      </c>
      <c r="E31" s="113">
        <f t="shared" si="4"/>
        <v>30540.949999999997</v>
      </c>
      <c r="F31" s="113">
        <f t="shared" si="5"/>
        <v>31761.84</v>
      </c>
      <c r="G31" s="113">
        <v>0</v>
      </c>
      <c r="H31" s="113">
        <f>'мунзад 20'!G114</f>
        <v>30540.949999999997</v>
      </c>
      <c r="I31" s="113">
        <f>'мунзад 21'!G114</f>
        <v>31761.84</v>
      </c>
      <c r="J31" s="113"/>
      <c r="K31" s="113"/>
      <c r="L31" s="113"/>
    </row>
    <row r="32" spans="1:12" s="109" customFormat="1" ht="21.75" customHeight="1" thickBot="1">
      <c r="A32" s="111" t="s">
        <v>306</v>
      </c>
      <c r="B32" s="112"/>
      <c r="C32" s="150"/>
      <c r="D32" s="113">
        <f t="shared" si="3"/>
        <v>0</v>
      </c>
      <c r="E32" s="113">
        <f t="shared" si="4"/>
        <v>629005.3799999999</v>
      </c>
      <c r="F32" s="113">
        <f t="shared" si="5"/>
        <v>654511.4700000001</v>
      </c>
      <c r="G32" s="113">
        <v>0</v>
      </c>
      <c r="H32" s="113">
        <f>'мунзад 20'!G111+'приносяш 2020'!G89</f>
        <v>629005.3799999999</v>
      </c>
      <c r="I32" s="113">
        <f>'мунзад 21'!G111+'приносяш 2021'!G89</f>
        <v>654511.4700000001</v>
      </c>
      <c r="J32" s="113"/>
      <c r="K32" s="113"/>
      <c r="L32" s="113"/>
    </row>
    <row r="33" spans="1:12" s="109" customFormat="1" ht="21.75" customHeight="1" thickBot="1">
      <c r="A33" s="111" t="s">
        <v>307</v>
      </c>
      <c r="B33" s="112"/>
      <c r="C33" s="150"/>
      <c r="D33" s="113">
        <f t="shared" si="3"/>
        <v>77357.47</v>
      </c>
      <c r="E33" s="113">
        <f t="shared" si="4"/>
        <v>80453.90000000001</v>
      </c>
      <c r="F33" s="113">
        <f t="shared" si="5"/>
        <v>83670.09</v>
      </c>
      <c r="G33" s="113">
        <f>'мунзад 19'!G113</f>
        <v>77357.47</v>
      </c>
      <c r="H33" s="113">
        <f>'мунзад 20'!G112+'приносяш 2020'!G90</f>
        <v>80453.90000000001</v>
      </c>
      <c r="I33" s="113">
        <f>'мунзад 21'!G112+'приносяш 2021'!G90</f>
        <v>83670.09</v>
      </c>
      <c r="J33" s="113"/>
      <c r="K33" s="113"/>
      <c r="L33" s="113"/>
    </row>
    <row r="34" spans="1:12" s="109" customFormat="1" ht="21.75" customHeight="1" thickBot="1">
      <c r="A34" s="111" t="s">
        <v>309</v>
      </c>
      <c r="B34" s="112"/>
      <c r="C34" s="150"/>
      <c r="D34" s="113">
        <f t="shared" si="3"/>
        <v>80153.35</v>
      </c>
      <c r="E34" s="113">
        <f t="shared" si="4"/>
        <v>83352.08</v>
      </c>
      <c r="F34" s="113">
        <f t="shared" si="5"/>
        <v>86684.65000000001</v>
      </c>
      <c r="G34" s="113">
        <f>'мунзад 19'!G114</f>
        <v>80153.35</v>
      </c>
      <c r="H34" s="113">
        <f>'мунзад 20'!G113+'приносяш 2020'!G91</f>
        <v>83352.08</v>
      </c>
      <c r="I34" s="113">
        <f>'мунзад 21'!G113+'приносяш 2021'!G91</f>
        <v>86684.65000000001</v>
      </c>
      <c r="J34" s="113"/>
      <c r="K34" s="113"/>
      <c r="L34" s="113"/>
    </row>
    <row r="35" spans="1:12" s="109" customFormat="1" ht="21.75" customHeight="1" thickBot="1">
      <c r="A35" s="111" t="s">
        <v>466</v>
      </c>
      <c r="B35" s="112"/>
      <c r="C35" s="150"/>
      <c r="D35" s="113">
        <f t="shared" si="3"/>
        <v>0</v>
      </c>
      <c r="E35" s="113">
        <f t="shared" si="4"/>
        <v>760000</v>
      </c>
      <c r="F35" s="113">
        <f t="shared" si="5"/>
        <v>760000</v>
      </c>
      <c r="G35" s="113">
        <f>'2019'!D53</f>
        <v>0</v>
      </c>
      <c r="H35" s="113">
        <f>'2020'!D53</f>
        <v>760000</v>
      </c>
      <c r="I35" s="113">
        <f>'2021'!D53</f>
        <v>760000</v>
      </c>
      <c r="J35" s="113"/>
      <c r="K35" s="113"/>
      <c r="L35" s="113"/>
    </row>
    <row r="36" spans="1:12" s="109" customFormat="1" ht="21.75" customHeight="1" thickBot="1">
      <c r="A36" s="111" t="s">
        <v>313</v>
      </c>
      <c r="B36" s="112"/>
      <c r="C36" s="150"/>
      <c r="D36" s="113">
        <f t="shared" si="3"/>
        <v>53514.06</v>
      </c>
      <c r="E36" s="113">
        <f t="shared" si="4"/>
        <v>104024.76</v>
      </c>
      <c r="F36" s="113">
        <f t="shared" si="5"/>
        <v>104024.76</v>
      </c>
      <c r="G36" s="113">
        <f>'мунзад 19'!E129</f>
        <v>53514.06</v>
      </c>
      <c r="H36" s="113">
        <f>'мунзад 20'!E128</f>
        <v>104024.76</v>
      </c>
      <c r="I36" s="113">
        <f>'мунзад 21'!E128</f>
        <v>104024.76</v>
      </c>
      <c r="J36" s="113"/>
      <c r="K36" s="113"/>
      <c r="L36" s="113"/>
    </row>
    <row r="37" spans="1:12" s="109" customFormat="1" ht="21.75" customHeight="1" thickBot="1">
      <c r="A37" s="111" t="s">
        <v>340</v>
      </c>
      <c r="B37" s="112"/>
      <c r="C37" s="150"/>
      <c r="D37" s="113">
        <f t="shared" si="3"/>
        <v>0</v>
      </c>
      <c r="E37" s="113">
        <f t="shared" si="4"/>
        <v>114000</v>
      </c>
      <c r="F37" s="113">
        <f t="shared" si="5"/>
        <v>114000</v>
      </c>
      <c r="G37" s="113">
        <v>0</v>
      </c>
      <c r="H37" s="113">
        <f>'мунзад 20'!E129</f>
        <v>114000</v>
      </c>
      <c r="I37" s="113">
        <f>'мунзад 21'!E129</f>
        <v>114000</v>
      </c>
      <c r="J37" s="113"/>
      <c r="K37" s="113"/>
      <c r="L37" s="113"/>
    </row>
    <row r="38" spans="1:12" s="109" customFormat="1" ht="21.75" customHeight="1" thickBot="1">
      <c r="A38" s="162" t="s">
        <v>329</v>
      </c>
      <c r="B38" s="112"/>
      <c r="C38" s="150"/>
      <c r="D38" s="113">
        <f t="shared" si="3"/>
        <v>0</v>
      </c>
      <c r="E38" s="113">
        <f t="shared" si="4"/>
        <v>216000</v>
      </c>
      <c r="F38" s="113">
        <f t="shared" si="5"/>
        <v>216000</v>
      </c>
      <c r="G38" s="113">
        <v>0</v>
      </c>
      <c r="H38" s="113">
        <f>'мунзад 20'!E130</f>
        <v>216000</v>
      </c>
      <c r="I38" s="113">
        <f>'мунзад 21'!E130</f>
        <v>216000</v>
      </c>
      <c r="J38" s="113"/>
      <c r="K38" s="113"/>
      <c r="L38" s="113"/>
    </row>
    <row r="39" spans="1:12" s="109" customFormat="1" ht="21.75" customHeight="1" thickBot="1">
      <c r="A39" s="162" t="s">
        <v>344</v>
      </c>
      <c r="B39" s="112"/>
      <c r="C39" s="150"/>
      <c r="D39" s="113">
        <f t="shared" si="3"/>
        <v>0</v>
      </c>
      <c r="E39" s="113">
        <f t="shared" si="4"/>
        <v>46971.36</v>
      </c>
      <c r="F39" s="113">
        <f t="shared" si="5"/>
        <v>46971.36</v>
      </c>
      <c r="G39" s="113">
        <v>0</v>
      </c>
      <c r="H39" s="113">
        <f>'мунзад 20'!E131</f>
        <v>46971.36</v>
      </c>
      <c r="I39" s="113">
        <f>'мунзад 21'!E131</f>
        <v>46971.36</v>
      </c>
      <c r="J39" s="113"/>
      <c r="K39" s="113"/>
      <c r="L39" s="113"/>
    </row>
    <row r="40" spans="1:12" s="109" customFormat="1" ht="21.75" customHeight="1" thickBot="1">
      <c r="A40" s="162" t="s">
        <v>316</v>
      </c>
      <c r="B40" s="112"/>
      <c r="C40" s="150"/>
      <c r="D40" s="113">
        <f t="shared" si="3"/>
        <v>60000</v>
      </c>
      <c r="E40" s="113">
        <f t="shared" si="4"/>
        <v>66000</v>
      </c>
      <c r="F40" s="113">
        <f t="shared" si="5"/>
        <v>66000</v>
      </c>
      <c r="G40" s="113">
        <f>'мунзад 19'!E134</f>
        <v>60000</v>
      </c>
      <c r="H40" s="113">
        <f>'мунзад 20'!E133</f>
        <v>66000</v>
      </c>
      <c r="I40" s="113">
        <f>'мунзад 21'!E133</f>
        <v>66000</v>
      </c>
      <c r="J40" s="113"/>
      <c r="K40" s="113"/>
      <c r="L40" s="113"/>
    </row>
    <row r="41" spans="1:12" s="109" customFormat="1" ht="21.75" customHeight="1" thickBot="1">
      <c r="A41" s="162" t="s">
        <v>467</v>
      </c>
      <c r="B41" s="112"/>
      <c r="C41" s="150"/>
      <c r="D41" s="113">
        <f>G41</f>
        <v>0</v>
      </c>
      <c r="E41" s="113">
        <f>H41</f>
        <v>0</v>
      </c>
      <c r="F41" s="113">
        <f>I41</f>
        <v>0</v>
      </c>
      <c r="G41" s="113">
        <v>0</v>
      </c>
      <c r="H41" s="113">
        <v>0</v>
      </c>
      <c r="I41" s="113">
        <v>0</v>
      </c>
      <c r="J41" s="113"/>
      <c r="K41" s="113"/>
      <c r="L41" s="113"/>
    </row>
    <row r="42" spans="1:12" s="109" customFormat="1" ht="21.75" customHeight="1" thickBot="1">
      <c r="A42" s="162" t="s">
        <v>317</v>
      </c>
      <c r="B42" s="112"/>
      <c r="C42" s="150"/>
      <c r="D42" s="113">
        <f t="shared" si="3"/>
        <v>500000</v>
      </c>
      <c r="E42" s="113">
        <f t="shared" si="4"/>
        <v>500000</v>
      </c>
      <c r="F42" s="113">
        <f t="shared" si="5"/>
        <v>500000</v>
      </c>
      <c r="G42" s="113">
        <v>500000</v>
      </c>
      <c r="H42" s="113">
        <f>'мунзад 20'!E134</f>
        <v>500000</v>
      </c>
      <c r="I42" s="113">
        <f>'мунзад 21'!E134</f>
        <v>500000</v>
      </c>
      <c r="J42" s="113"/>
      <c r="K42" s="113"/>
      <c r="L42" s="113"/>
    </row>
    <row r="43" spans="1:12" s="109" customFormat="1" ht="21.75" customHeight="1" thickBot="1">
      <c r="A43" s="162" t="s">
        <v>347</v>
      </c>
      <c r="B43" s="112"/>
      <c r="C43" s="150"/>
      <c r="D43" s="113">
        <f t="shared" si="3"/>
        <v>0</v>
      </c>
      <c r="E43" s="113">
        <f t="shared" si="4"/>
        <v>40000</v>
      </c>
      <c r="F43" s="113">
        <f t="shared" si="5"/>
        <v>40000</v>
      </c>
      <c r="G43" s="113">
        <f>'мунзад 19'!E152</f>
        <v>0</v>
      </c>
      <c r="H43" s="113">
        <f>'мунзад 20'!E150</f>
        <v>40000</v>
      </c>
      <c r="I43" s="113">
        <f>'мунзад 21'!E150</f>
        <v>40000</v>
      </c>
      <c r="J43" s="113"/>
      <c r="K43" s="113"/>
      <c r="L43" s="113"/>
    </row>
    <row r="44" spans="1:12" s="109" customFormat="1" ht="21.75" customHeight="1" thickBot="1">
      <c r="A44" s="162" t="s">
        <v>318</v>
      </c>
      <c r="B44" s="112"/>
      <c r="C44" s="150"/>
      <c r="D44" s="113">
        <f t="shared" si="3"/>
        <v>9544.9</v>
      </c>
      <c r="E44" s="113">
        <f t="shared" si="4"/>
        <v>680000</v>
      </c>
      <c r="F44" s="113">
        <f t="shared" si="5"/>
        <v>680000</v>
      </c>
      <c r="G44" s="113">
        <f>'мунзад 19'!E138+'приносяш 2019'!E116</f>
        <v>9544.9</v>
      </c>
      <c r="H44" s="113">
        <f>'мунзад 20'!E136</f>
        <v>680000</v>
      </c>
      <c r="I44" s="113">
        <f>'мунзад 21'!E136</f>
        <v>680000</v>
      </c>
      <c r="J44" s="113"/>
      <c r="K44" s="113"/>
      <c r="L44" s="113"/>
    </row>
    <row r="45" spans="1:12" s="109" customFormat="1" ht="23.25" customHeight="1" thickBot="1">
      <c r="A45" s="162" t="s">
        <v>383</v>
      </c>
      <c r="B45" s="112"/>
      <c r="C45" s="150"/>
      <c r="D45" s="113">
        <f t="shared" si="3"/>
        <v>0</v>
      </c>
      <c r="E45" s="113">
        <f t="shared" si="4"/>
        <v>30000</v>
      </c>
      <c r="F45" s="113">
        <f t="shared" si="5"/>
        <v>30000</v>
      </c>
      <c r="G45" s="113">
        <f>'мунзад 19'!E141</f>
        <v>0</v>
      </c>
      <c r="H45" s="113">
        <f>'мунзад 20'!E139</f>
        <v>30000</v>
      </c>
      <c r="I45" s="113">
        <f>'мунзад 21'!E139</f>
        <v>30000</v>
      </c>
      <c r="J45" s="113"/>
      <c r="K45" s="113"/>
      <c r="L45" s="113"/>
    </row>
    <row r="46" spans="1:12" s="109" customFormat="1" ht="21.75" customHeight="1" thickBot="1">
      <c r="A46" s="162" t="s">
        <v>411</v>
      </c>
      <c r="B46" s="112"/>
      <c r="C46" s="150"/>
      <c r="D46" s="113">
        <f t="shared" si="3"/>
        <v>2822793.49</v>
      </c>
      <c r="E46" s="113">
        <f t="shared" si="4"/>
        <v>291267</v>
      </c>
      <c r="F46" s="113">
        <f t="shared" si="5"/>
        <v>291267</v>
      </c>
      <c r="G46" s="113">
        <f>'мунзад 19'!E144+'2019'!F56+496337.76+9705</f>
        <v>2822793.49</v>
      </c>
      <c r="H46" s="113">
        <f>'мунзад 20'!E142</f>
        <v>291267</v>
      </c>
      <c r="I46" s="113">
        <f>'мунзад 21'!E142</f>
        <v>291267</v>
      </c>
      <c r="J46" s="113"/>
      <c r="K46" s="113"/>
      <c r="L46" s="113"/>
    </row>
    <row r="47" spans="1:12" s="109" customFormat="1" ht="21.75" customHeight="1" thickBot="1">
      <c r="A47" s="162" t="s">
        <v>319</v>
      </c>
      <c r="B47" s="112"/>
      <c r="C47" s="150"/>
      <c r="D47" s="113">
        <f t="shared" si="3"/>
        <v>0</v>
      </c>
      <c r="E47" s="113">
        <f t="shared" si="4"/>
        <v>150000</v>
      </c>
      <c r="F47" s="113">
        <f t="shared" si="5"/>
        <v>150000</v>
      </c>
      <c r="G47" s="113">
        <f>'мунзад 19'!E139</f>
        <v>0</v>
      </c>
      <c r="H47" s="113">
        <f>'мунзад 20'!E137</f>
        <v>150000</v>
      </c>
      <c r="I47" s="113">
        <f>'мунзад 21'!E137</f>
        <v>150000</v>
      </c>
      <c r="J47" s="113"/>
      <c r="K47" s="113"/>
      <c r="L47" s="113"/>
    </row>
    <row r="48" spans="1:12" s="109" customFormat="1" ht="21.75" customHeight="1" thickBot="1">
      <c r="A48" s="162" t="s">
        <v>320</v>
      </c>
      <c r="B48" s="112"/>
      <c r="C48" s="150"/>
      <c r="D48" s="113">
        <f t="shared" si="3"/>
        <v>0</v>
      </c>
      <c r="E48" s="113">
        <f t="shared" si="4"/>
        <v>50000</v>
      </c>
      <c r="F48" s="113">
        <f t="shared" si="5"/>
        <v>50000</v>
      </c>
      <c r="G48" s="113">
        <v>0</v>
      </c>
      <c r="H48" s="113">
        <f>'мунзад 20'!E138</f>
        <v>50000</v>
      </c>
      <c r="I48" s="113">
        <f>'мунзад 21'!E138</f>
        <v>50000</v>
      </c>
      <c r="J48" s="113"/>
      <c r="K48" s="113"/>
      <c r="L48" s="113"/>
    </row>
    <row r="49" spans="1:12" s="109" customFormat="1" ht="21.75" customHeight="1" thickBot="1">
      <c r="A49" s="162" t="s">
        <v>346</v>
      </c>
      <c r="B49" s="112"/>
      <c r="C49" s="150"/>
      <c r="D49" s="113">
        <f t="shared" si="3"/>
        <v>0</v>
      </c>
      <c r="E49" s="113">
        <f t="shared" si="4"/>
        <v>16800</v>
      </c>
      <c r="F49" s="113">
        <f t="shared" si="5"/>
        <v>16800</v>
      </c>
      <c r="G49" s="113">
        <v>0</v>
      </c>
      <c r="H49" s="113">
        <f>'мунзад 20'!E132</f>
        <v>16800</v>
      </c>
      <c r="I49" s="113">
        <f>'мунзад 21'!E132</f>
        <v>16800</v>
      </c>
      <c r="J49" s="113"/>
      <c r="K49" s="113"/>
      <c r="L49" s="113"/>
    </row>
    <row r="50" spans="1:12" s="109" customFormat="1" ht="21.75" customHeight="1" thickBot="1">
      <c r="A50" s="162" t="s">
        <v>468</v>
      </c>
      <c r="B50" s="112"/>
      <c r="C50" s="150"/>
      <c r="D50" s="113">
        <f t="shared" si="3"/>
        <v>0</v>
      </c>
      <c r="E50" s="113">
        <f aca="true" t="shared" si="6" ref="E50:F54">H50</f>
        <v>60000</v>
      </c>
      <c r="F50" s="113">
        <f t="shared" si="6"/>
        <v>60000</v>
      </c>
      <c r="G50" s="113">
        <v>0</v>
      </c>
      <c r="H50" s="113">
        <f>'мунзад 20'!E141</f>
        <v>60000</v>
      </c>
      <c r="I50" s="113">
        <f>'мунзад 21'!E141</f>
        <v>60000</v>
      </c>
      <c r="J50" s="113"/>
      <c r="K50" s="113"/>
      <c r="L50" s="113"/>
    </row>
    <row r="51" spans="1:12" s="109" customFormat="1" ht="36.75" customHeight="1" thickBot="1">
      <c r="A51" s="138" t="s">
        <v>452</v>
      </c>
      <c r="B51" s="112"/>
      <c r="C51" s="150"/>
      <c r="D51" s="113">
        <f t="shared" si="3"/>
        <v>0</v>
      </c>
      <c r="E51" s="113">
        <f t="shared" si="6"/>
        <v>100000</v>
      </c>
      <c r="F51" s="113">
        <f t="shared" si="6"/>
        <v>100000</v>
      </c>
      <c r="G51" s="113">
        <f>'мунзад 19'!E137</f>
        <v>0</v>
      </c>
      <c r="H51" s="113">
        <f>'мунзад 20'!E135</f>
        <v>100000</v>
      </c>
      <c r="I51" s="113">
        <f>'мунзад 21'!E135</f>
        <v>100000</v>
      </c>
      <c r="J51" s="113"/>
      <c r="K51" s="113"/>
      <c r="L51" s="113"/>
    </row>
    <row r="52" spans="1:12" s="109" customFormat="1" ht="21.75" customHeight="1" hidden="1" thickBot="1">
      <c r="A52" s="162" t="s">
        <v>408</v>
      </c>
      <c r="B52" s="112"/>
      <c r="C52" s="150"/>
      <c r="D52" s="113">
        <f t="shared" si="3"/>
        <v>0</v>
      </c>
      <c r="E52" s="113">
        <f t="shared" si="6"/>
        <v>0</v>
      </c>
      <c r="F52" s="113">
        <f t="shared" si="6"/>
        <v>0</v>
      </c>
      <c r="G52" s="113">
        <f>'мунзад 19'!E145</f>
        <v>0</v>
      </c>
      <c r="H52" s="113">
        <v>0</v>
      </c>
      <c r="I52" s="113">
        <f>0</f>
        <v>0</v>
      </c>
      <c r="J52" s="113"/>
      <c r="K52" s="113"/>
      <c r="L52" s="113"/>
    </row>
    <row r="53" spans="1:12" s="109" customFormat="1" ht="21.75" customHeight="1" thickBot="1">
      <c r="A53" s="162" t="s">
        <v>409</v>
      </c>
      <c r="B53" s="112"/>
      <c r="C53" s="150"/>
      <c r="D53" s="113">
        <f t="shared" si="3"/>
        <v>0</v>
      </c>
      <c r="E53" s="113">
        <f t="shared" si="6"/>
        <v>90000</v>
      </c>
      <c r="F53" s="113">
        <f t="shared" si="6"/>
        <v>90000</v>
      </c>
      <c r="G53" s="113">
        <f>'мунзад 19'!E146</f>
        <v>0</v>
      </c>
      <c r="H53" s="113">
        <f>'мунзад 20'!E144</f>
        <v>90000</v>
      </c>
      <c r="I53" s="113">
        <f>'мунзад 21'!E144</f>
        <v>90000</v>
      </c>
      <c r="J53" s="113"/>
      <c r="K53" s="113"/>
      <c r="L53" s="113"/>
    </row>
    <row r="54" spans="1:12" s="109" customFormat="1" ht="21.75" customHeight="1" hidden="1" thickBot="1">
      <c r="A54" s="162" t="s">
        <v>410</v>
      </c>
      <c r="B54" s="112"/>
      <c r="C54" s="150"/>
      <c r="D54" s="113">
        <f t="shared" si="3"/>
        <v>0</v>
      </c>
      <c r="E54" s="113">
        <f t="shared" si="6"/>
        <v>0</v>
      </c>
      <c r="F54" s="113">
        <f t="shared" si="6"/>
        <v>0</v>
      </c>
      <c r="G54" s="113">
        <f>'мунзад 19'!E147</f>
        <v>0</v>
      </c>
      <c r="H54" s="113">
        <v>0</v>
      </c>
      <c r="I54" s="113">
        <v>0</v>
      </c>
      <c r="J54" s="113"/>
      <c r="K54" s="113"/>
      <c r="L54" s="113"/>
    </row>
    <row r="55" spans="1:12" s="109" customFormat="1" ht="21.75" customHeight="1" hidden="1" thickBot="1">
      <c r="A55" s="162" t="s">
        <v>427</v>
      </c>
      <c r="B55" s="112"/>
      <c r="C55" s="150"/>
      <c r="D55" s="113">
        <f aca="true" t="shared" si="7" ref="D55:F59">G55</f>
        <v>0</v>
      </c>
      <c r="E55" s="113">
        <f t="shared" si="7"/>
        <v>0</v>
      </c>
      <c r="F55" s="113">
        <f t="shared" si="7"/>
        <v>0</v>
      </c>
      <c r="G55" s="113">
        <f>'мунзад 19'!E148</f>
        <v>0</v>
      </c>
      <c r="H55" s="113">
        <v>0</v>
      </c>
      <c r="I55" s="113">
        <v>0</v>
      </c>
      <c r="J55" s="113"/>
      <c r="K55" s="113"/>
      <c r="L55" s="113"/>
    </row>
    <row r="56" spans="1:12" s="109" customFormat="1" ht="21.75" customHeight="1" hidden="1" thickBot="1">
      <c r="A56" s="162" t="s">
        <v>428</v>
      </c>
      <c r="B56" s="112"/>
      <c r="C56" s="150"/>
      <c r="D56" s="113">
        <f t="shared" si="7"/>
        <v>0</v>
      </c>
      <c r="E56" s="113">
        <f t="shared" si="7"/>
        <v>0</v>
      </c>
      <c r="F56" s="113">
        <f t="shared" si="7"/>
        <v>0</v>
      </c>
      <c r="G56" s="113">
        <f>'мунзад 19'!E149</f>
        <v>0</v>
      </c>
      <c r="H56" s="113">
        <v>0</v>
      </c>
      <c r="I56" s="113">
        <v>0</v>
      </c>
      <c r="J56" s="113"/>
      <c r="K56" s="113"/>
      <c r="L56" s="113"/>
    </row>
    <row r="57" spans="1:12" s="109" customFormat="1" ht="21.75" customHeight="1" hidden="1" thickBot="1">
      <c r="A57" s="162" t="s">
        <v>429</v>
      </c>
      <c r="B57" s="112"/>
      <c r="C57" s="150"/>
      <c r="D57" s="113">
        <f t="shared" si="7"/>
        <v>0</v>
      </c>
      <c r="E57" s="113">
        <f t="shared" si="7"/>
        <v>0</v>
      </c>
      <c r="F57" s="113">
        <f t="shared" si="7"/>
        <v>0</v>
      </c>
      <c r="G57" s="113">
        <f>'мунзад 19'!E150</f>
        <v>0</v>
      </c>
      <c r="H57" s="113">
        <v>0</v>
      </c>
      <c r="I57" s="113">
        <v>0</v>
      </c>
      <c r="J57" s="113"/>
      <c r="K57" s="113"/>
      <c r="L57" s="113"/>
    </row>
    <row r="58" spans="1:12" s="109" customFormat="1" ht="21.75" customHeight="1" hidden="1" thickBot="1">
      <c r="A58" s="162" t="s">
        <v>430</v>
      </c>
      <c r="B58" s="112"/>
      <c r="C58" s="150"/>
      <c r="D58" s="113">
        <f t="shared" si="7"/>
        <v>0</v>
      </c>
      <c r="E58" s="113">
        <f t="shared" si="7"/>
        <v>0</v>
      </c>
      <c r="F58" s="113">
        <f t="shared" si="7"/>
        <v>0</v>
      </c>
      <c r="G58" s="113">
        <f>'мунзад 19'!E151</f>
        <v>0</v>
      </c>
      <c r="H58" s="113">
        <v>0</v>
      </c>
      <c r="I58" s="113">
        <v>0</v>
      </c>
      <c r="J58" s="113"/>
      <c r="K58" s="113"/>
      <c r="L58" s="113"/>
    </row>
    <row r="59" spans="1:12" s="109" customFormat="1" ht="21.75" customHeight="1" thickBot="1">
      <c r="A59" s="138" t="s">
        <v>453</v>
      </c>
      <c r="B59" s="112"/>
      <c r="C59" s="150"/>
      <c r="D59" s="113">
        <f t="shared" si="7"/>
        <v>0</v>
      </c>
      <c r="E59" s="113">
        <f t="shared" si="7"/>
        <v>50000</v>
      </c>
      <c r="F59" s="113">
        <f t="shared" si="7"/>
        <v>50000</v>
      </c>
      <c r="G59" s="113">
        <f>'мунзад 19'!E142</f>
        <v>0</v>
      </c>
      <c r="H59" s="113">
        <f>'мунзад 20'!E140</f>
        <v>50000</v>
      </c>
      <c r="I59" s="113">
        <f>'мунзад 21'!E140</f>
        <v>50000</v>
      </c>
      <c r="J59" s="113"/>
      <c r="K59" s="113"/>
      <c r="L59" s="113"/>
    </row>
    <row r="60" spans="1:12" s="109" customFormat="1" ht="21.75" customHeight="1" thickBot="1">
      <c r="A60" s="111" t="s">
        <v>322</v>
      </c>
      <c r="B60" s="112"/>
      <c r="C60" s="150"/>
      <c r="D60" s="113">
        <f t="shared" si="3"/>
        <v>0</v>
      </c>
      <c r="E60" s="113">
        <f t="shared" si="4"/>
        <v>156000</v>
      </c>
      <c r="F60" s="113">
        <f t="shared" si="5"/>
        <v>156000</v>
      </c>
      <c r="G60" s="113">
        <v>0</v>
      </c>
      <c r="H60" s="113">
        <f>'мунзад 20'!D157</f>
        <v>156000</v>
      </c>
      <c r="I60" s="113">
        <f>'мунзад 21'!D157</f>
        <v>156000</v>
      </c>
      <c r="J60" s="113"/>
      <c r="K60" s="113"/>
      <c r="L60" s="113"/>
    </row>
    <row r="61" spans="1:12" s="109" customFormat="1" ht="21.75" customHeight="1" hidden="1" thickBot="1">
      <c r="A61" s="111" t="s">
        <v>412</v>
      </c>
      <c r="B61" s="112"/>
      <c r="C61" s="150"/>
      <c r="D61" s="113">
        <f aca="true" t="shared" si="8" ref="D61:F62">G61</f>
        <v>0</v>
      </c>
      <c r="E61" s="113">
        <f t="shared" si="8"/>
        <v>0</v>
      </c>
      <c r="F61" s="113">
        <f t="shared" si="8"/>
        <v>0</v>
      </c>
      <c r="G61" s="113">
        <v>0</v>
      </c>
      <c r="H61" s="113">
        <v>0</v>
      </c>
      <c r="I61" s="113">
        <f>0</f>
        <v>0</v>
      </c>
      <c r="J61" s="113"/>
      <c r="K61" s="113"/>
      <c r="L61" s="113"/>
    </row>
    <row r="62" spans="1:12" s="109" customFormat="1" ht="21.75" customHeight="1" thickBot="1">
      <c r="A62" s="111" t="s">
        <v>422</v>
      </c>
      <c r="B62" s="112"/>
      <c r="C62" s="150"/>
      <c r="D62" s="113">
        <f t="shared" si="8"/>
        <v>73000</v>
      </c>
      <c r="E62" s="113">
        <f t="shared" si="8"/>
        <v>0</v>
      </c>
      <c r="F62" s="113">
        <f t="shared" si="8"/>
        <v>0</v>
      </c>
      <c r="G62" s="113">
        <f>'мунзад 19'!D161</f>
        <v>73000</v>
      </c>
      <c r="H62" s="113">
        <v>0</v>
      </c>
      <c r="I62" s="113">
        <v>0</v>
      </c>
      <c r="J62" s="113"/>
      <c r="K62" s="113"/>
      <c r="L62" s="113"/>
    </row>
    <row r="63" spans="1:12" s="109" customFormat="1" ht="21.75" customHeight="1" thickBot="1">
      <c r="A63" s="111" t="s">
        <v>341</v>
      </c>
      <c r="B63" s="112"/>
      <c r="C63" s="150"/>
      <c r="D63" s="113">
        <f t="shared" si="3"/>
        <v>405937</v>
      </c>
      <c r="E63" s="113">
        <f t="shared" si="4"/>
        <v>400000</v>
      </c>
      <c r="F63" s="113">
        <f>'мунзад 20'!D159</f>
        <v>400000</v>
      </c>
      <c r="G63" s="298">
        <f>'мунзад 19'!D162</f>
        <v>405937</v>
      </c>
      <c r="H63" s="113">
        <f>'мунзад 20'!D159</f>
        <v>400000</v>
      </c>
      <c r="I63" s="113">
        <f>'мунзад 21'!D159</f>
        <v>400000</v>
      </c>
      <c r="J63" s="113"/>
      <c r="K63" s="113"/>
      <c r="L63" s="113"/>
    </row>
    <row r="64" spans="1:12" s="109" customFormat="1" ht="21.75" customHeight="1" thickBot="1">
      <c r="A64" s="111" t="s">
        <v>384</v>
      </c>
      <c r="B64" s="112"/>
      <c r="C64" s="150"/>
      <c r="D64" s="113">
        <f t="shared" si="3"/>
        <v>0</v>
      </c>
      <c r="E64" s="113">
        <f t="shared" si="4"/>
        <v>50000</v>
      </c>
      <c r="F64" s="113">
        <f t="shared" si="5"/>
        <v>50000</v>
      </c>
      <c r="G64" s="113">
        <f>'мунзад 19'!D160</f>
        <v>0</v>
      </c>
      <c r="H64" s="113">
        <f>'мунзад 20'!D158</f>
        <v>50000</v>
      </c>
      <c r="I64" s="113">
        <f>'мунзад 21'!D158</f>
        <v>50000</v>
      </c>
      <c r="J64" s="113"/>
      <c r="K64" s="113"/>
      <c r="L64" s="113"/>
    </row>
    <row r="65" spans="1:12" s="109" customFormat="1" ht="21.75" customHeight="1" hidden="1" thickBot="1">
      <c r="A65" s="111" t="s">
        <v>421</v>
      </c>
      <c r="B65" s="112"/>
      <c r="C65" s="150"/>
      <c r="D65" s="113">
        <f t="shared" si="3"/>
        <v>0</v>
      </c>
      <c r="E65" s="113">
        <f>H65</f>
        <v>0</v>
      </c>
      <c r="F65" s="113">
        <f>I65</f>
        <v>0</v>
      </c>
      <c r="G65" s="113">
        <v>0</v>
      </c>
      <c r="H65" s="113">
        <v>0</v>
      </c>
      <c r="I65" s="113">
        <f>0</f>
        <v>0</v>
      </c>
      <c r="J65" s="113"/>
      <c r="K65" s="113"/>
      <c r="L65" s="113"/>
    </row>
    <row r="66" spans="1:12" s="109" customFormat="1" ht="21.75" customHeight="1" thickBot="1">
      <c r="A66" s="111" t="s">
        <v>420</v>
      </c>
      <c r="B66" s="112"/>
      <c r="C66" s="150"/>
      <c r="D66" s="113">
        <f t="shared" si="3"/>
        <v>0</v>
      </c>
      <c r="E66" s="113">
        <f>H66</f>
        <v>50000</v>
      </c>
      <c r="F66" s="113">
        <f>I66</f>
        <v>50000</v>
      </c>
      <c r="G66" s="113">
        <f>'мунзад 19'!D167</f>
        <v>0</v>
      </c>
      <c r="H66" s="113">
        <f>'мунзад 20'!D164</f>
        <v>50000</v>
      </c>
      <c r="I66" s="113">
        <f>'мунзад 21'!D164</f>
        <v>50000</v>
      </c>
      <c r="J66" s="113"/>
      <c r="K66" s="113"/>
      <c r="L66" s="113"/>
    </row>
    <row r="67" spans="1:12" s="109" customFormat="1" ht="21.75" customHeight="1" thickBot="1">
      <c r="A67" s="111" t="s">
        <v>395</v>
      </c>
      <c r="B67" s="112"/>
      <c r="C67" s="150"/>
      <c r="D67" s="113">
        <f t="shared" si="3"/>
        <v>201833</v>
      </c>
      <c r="E67" s="113">
        <f t="shared" si="4"/>
        <v>170000</v>
      </c>
      <c r="F67" s="113">
        <f t="shared" si="5"/>
        <v>170000</v>
      </c>
      <c r="G67" s="113">
        <f>'мунзад 19'!D165</f>
        <v>201833</v>
      </c>
      <c r="H67" s="113">
        <f>'мунзад 20'!D162</f>
        <v>170000</v>
      </c>
      <c r="I67" s="113">
        <f>'мунзад 21'!D162</f>
        <v>170000</v>
      </c>
      <c r="J67" s="113"/>
      <c r="K67" s="113"/>
      <c r="L67" s="113"/>
    </row>
    <row r="68" spans="1:12" s="109" customFormat="1" ht="21.75" customHeight="1" hidden="1" thickBot="1">
      <c r="A68" s="111" t="s">
        <v>416</v>
      </c>
      <c r="B68" s="112"/>
      <c r="C68" s="150"/>
      <c r="D68" s="113">
        <f t="shared" si="3"/>
        <v>0</v>
      </c>
      <c r="E68" s="113">
        <f t="shared" si="4"/>
        <v>0</v>
      </c>
      <c r="F68" s="113">
        <f t="shared" si="5"/>
        <v>0</v>
      </c>
      <c r="G68" s="113"/>
      <c r="H68" s="113"/>
      <c r="I68" s="113">
        <f>G68</f>
        <v>0</v>
      </c>
      <c r="J68" s="113"/>
      <c r="K68" s="113"/>
      <c r="L68" s="113"/>
    </row>
    <row r="69" spans="1:12" s="109" customFormat="1" ht="21.75" customHeight="1" thickBot="1">
      <c r="A69" s="162" t="s">
        <v>409</v>
      </c>
      <c r="B69" s="112"/>
      <c r="C69" s="150"/>
      <c r="D69" s="113">
        <f aca="true" t="shared" si="9" ref="D69:D75">G69</f>
        <v>0</v>
      </c>
      <c r="E69" s="113">
        <f t="shared" si="4"/>
        <v>200000</v>
      </c>
      <c r="F69" s="113">
        <f t="shared" si="5"/>
        <v>200000</v>
      </c>
      <c r="G69" s="113">
        <f>'мунзад 19'!D166</f>
        <v>0</v>
      </c>
      <c r="H69" s="113">
        <f>'мунзад 20'!D163</f>
        <v>200000</v>
      </c>
      <c r="I69" s="113">
        <f>'мунзад 21'!D163</f>
        <v>200000</v>
      </c>
      <c r="J69" s="113"/>
      <c r="K69" s="113"/>
      <c r="L69" s="113"/>
    </row>
    <row r="70" spans="1:12" s="109" customFormat="1" ht="24.75" customHeight="1" thickBot="1">
      <c r="A70" s="111" t="s">
        <v>394</v>
      </c>
      <c r="B70" s="112"/>
      <c r="C70" s="150"/>
      <c r="D70" s="113">
        <f t="shared" si="9"/>
        <v>707596.0599999999</v>
      </c>
      <c r="E70" s="113">
        <f aca="true" t="shared" si="10" ref="E70:F75">H70</f>
        <v>40000</v>
      </c>
      <c r="F70" s="113">
        <f t="shared" si="10"/>
        <v>40000</v>
      </c>
      <c r="G70" s="299">
        <f>'мунзад 19'!D163+576257.75+4925.88</f>
        <v>707596.0599999999</v>
      </c>
      <c r="H70" s="113">
        <f>'мунзад 20'!D160</f>
        <v>40000</v>
      </c>
      <c r="I70" s="113">
        <f>'мунзад 21'!D160</f>
        <v>40000</v>
      </c>
      <c r="J70" s="113"/>
      <c r="K70" s="113"/>
      <c r="L70" s="113"/>
    </row>
    <row r="71" spans="1:12" s="109" customFormat="1" ht="24.75" customHeight="1" hidden="1" thickBot="1">
      <c r="A71" s="111" t="s">
        <v>422</v>
      </c>
      <c r="B71" s="112"/>
      <c r="C71" s="150"/>
      <c r="D71" s="113">
        <f t="shared" si="9"/>
        <v>0</v>
      </c>
      <c r="E71" s="113">
        <f t="shared" si="10"/>
        <v>0</v>
      </c>
      <c r="F71" s="113">
        <f t="shared" si="10"/>
        <v>0</v>
      </c>
      <c r="G71" s="299">
        <v>0</v>
      </c>
      <c r="H71" s="113">
        <v>0</v>
      </c>
      <c r="I71" s="113">
        <v>0</v>
      </c>
      <c r="J71" s="113"/>
      <c r="K71" s="113"/>
      <c r="L71" s="113"/>
    </row>
    <row r="72" spans="1:12" s="109" customFormat="1" ht="24.75" customHeight="1" thickBot="1">
      <c r="A72" s="162" t="s">
        <v>440</v>
      </c>
      <c r="B72" s="112"/>
      <c r="C72" s="150"/>
      <c r="D72" s="113">
        <f>G72</f>
        <v>2503.65</v>
      </c>
      <c r="E72" s="113">
        <f t="shared" si="10"/>
        <v>0</v>
      </c>
      <c r="F72" s="113">
        <f t="shared" si="10"/>
        <v>0</v>
      </c>
      <c r="G72" s="299">
        <f>'приносяш 2019'!D139</f>
        <v>2503.65</v>
      </c>
      <c r="H72" s="113">
        <v>0</v>
      </c>
      <c r="I72" s="113">
        <v>0</v>
      </c>
      <c r="J72" s="113"/>
      <c r="K72" s="113"/>
      <c r="L72" s="113"/>
    </row>
    <row r="73" spans="1:12" s="109" customFormat="1" ht="24.75" customHeight="1" hidden="1" thickBot="1">
      <c r="A73" s="162" t="s">
        <v>432</v>
      </c>
      <c r="B73" s="112"/>
      <c r="C73" s="150"/>
      <c r="D73" s="113">
        <f t="shared" si="9"/>
        <v>0</v>
      </c>
      <c r="E73" s="113">
        <f t="shared" si="10"/>
        <v>0</v>
      </c>
      <c r="F73" s="113">
        <f t="shared" si="10"/>
        <v>0</v>
      </c>
      <c r="G73" s="299">
        <v>0</v>
      </c>
      <c r="H73" s="113">
        <v>0</v>
      </c>
      <c r="I73" s="113">
        <v>0</v>
      </c>
      <c r="J73" s="113"/>
      <c r="K73" s="113"/>
      <c r="L73" s="113"/>
    </row>
    <row r="74" spans="1:12" s="109" customFormat="1" ht="24.75" customHeight="1" hidden="1" thickBot="1">
      <c r="A74" s="162" t="s">
        <v>431</v>
      </c>
      <c r="B74" s="112"/>
      <c r="C74" s="150"/>
      <c r="D74" s="113">
        <f t="shared" si="9"/>
        <v>0</v>
      </c>
      <c r="E74" s="113">
        <f t="shared" si="10"/>
        <v>0</v>
      </c>
      <c r="F74" s="113">
        <f t="shared" si="10"/>
        <v>0</v>
      </c>
      <c r="G74" s="299">
        <v>0</v>
      </c>
      <c r="H74" s="113">
        <v>0</v>
      </c>
      <c r="I74" s="113">
        <v>0</v>
      </c>
      <c r="J74" s="113"/>
      <c r="K74" s="113"/>
      <c r="L74" s="113"/>
    </row>
    <row r="75" spans="1:12" s="109" customFormat="1" ht="24.75" customHeight="1" hidden="1" thickBot="1">
      <c r="A75" s="162" t="s">
        <v>433</v>
      </c>
      <c r="B75" s="112"/>
      <c r="C75" s="150"/>
      <c r="D75" s="113">
        <f t="shared" si="9"/>
        <v>0</v>
      </c>
      <c r="E75" s="113">
        <f t="shared" si="10"/>
        <v>0</v>
      </c>
      <c r="F75" s="113">
        <f t="shared" si="10"/>
        <v>0</v>
      </c>
      <c r="G75" s="299">
        <v>0</v>
      </c>
      <c r="H75" s="113">
        <v>0</v>
      </c>
      <c r="I75" s="113">
        <v>0</v>
      </c>
      <c r="J75" s="113"/>
      <c r="K75" s="113"/>
      <c r="L75" s="113"/>
    </row>
    <row r="76" spans="1:12" s="109" customFormat="1" ht="41.25" customHeight="1" hidden="1" thickBot="1">
      <c r="A76" s="111" t="s">
        <v>332</v>
      </c>
      <c r="B76" s="112"/>
      <c r="C76" s="150"/>
      <c r="D76" s="113">
        <f t="shared" si="3"/>
        <v>0</v>
      </c>
      <c r="E76" s="113">
        <f t="shared" si="4"/>
        <v>0</v>
      </c>
      <c r="F76" s="113">
        <f t="shared" si="5"/>
        <v>0</v>
      </c>
      <c r="G76" s="113">
        <v>0</v>
      </c>
      <c r="H76" s="113">
        <f>'мунзад 20'!E173</f>
        <v>0</v>
      </c>
      <c r="I76" s="113">
        <f>'мунзад 21'!E173</f>
        <v>0</v>
      </c>
      <c r="J76" s="113"/>
      <c r="K76" s="113"/>
      <c r="L76" s="113"/>
    </row>
    <row r="77" spans="1:12" s="109" customFormat="1" ht="42" customHeight="1" hidden="1" thickBot="1">
      <c r="A77" s="111" t="s">
        <v>343</v>
      </c>
      <c r="B77" s="112"/>
      <c r="C77" s="150"/>
      <c r="D77" s="113">
        <f t="shared" si="3"/>
        <v>0</v>
      </c>
      <c r="E77" s="113">
        <f t="shared" si="4"/>
        <v>0</v>
      </c>
      <c r="F77" s="113">
        <f t="shared" si="5"/>
        <v>0</v>
      </c>
      <c r="G77" s="113">
        <v>0</v>
      </c>
      <c r="H77" s="113">
        <f>G77</f>
        <v>0</v>
      </c>
      <c r="I77" s="113">
        <f>G77</f>
        <v>0</v>
      </c>
      <c r="J77" s="113"/>
      <c r="K77" s="113"/>
      <c r="L77" s="113"/>
    </row>
    <row r="78" spans="1:12" s="109" customFormat="1" ht="26.25" customHeight="1" thickBot="1">
      <c r="A78" s="111" t="s">
        <v>325</v>
      </c>
      <c r="B78" s="112"/>
      <c r="C78" s="150"/>
      <c r="D78" s="113">
        <f t="shared" si="3"/>
        <v>90297.6</v>
      </c>
      <c r="E78" s="113">
        <f t="shared" si="4"/>
        <v>250000</v>
      </c>
      <c r="F78" s="113">
        <f t="shared" si="5"/>
        <v>250000</v>
      </c>
      <c r="G78" s="113">
        <f>'мунзад 19'!E177</f>
        <v>90297.6</v>
      </c>
      <c r="H78" s="113">
        <f>'мунзад 20'!E174</f>
        <v>250000</v>
      </c>
      <c r="I78" s="113">
        <f>'мунзад 21'!E174</f>
        <v>250000</v>
      </c>
      <c r="J78" s="113"/>
      <c r="K78" s="113"/>
      <c r="L78" s="113"/>
    </row>
    <row r="79" spans="1:12" s="109" customFormat="1" ht="26.25" customHeight="1" thickBot="1">
      <c r="A79" s="111" t="s">
        <v>359</v>
      </c>
      <c r="B79" s="112"/>
      <c r="C79" s="150"/>
      <c r="D79" s="113">
        <f>G79</f>
        <v>511931.6</v>
      </c>
      <c r="E79" s="113">
        <f>H79</f>
        <v>186401.56</v>
      </c>
      <c r="F79" s="113">
        <f>I79</f>
        <v>186401.56</v>
      </c>
      <c r="G79" s="113">
        <f>'мунзад 19'!E178</f>
        <v>511931.6</v>
      </c>
      <c r="H79" s="113">
        <f>'мунзад 20'!E175</f>
        <v>186401.56</v>
      </c>
      <c r="I79" s="113">
        <f>'мунзад 21'!E175</f>
        <v>186401.56</v>
      </c>
      <c r="J79" s="113"/>
      <c r="K79" s="113"/>
      <c r="L79" s="113"/>
    </row>
    <row r="80" spans="1:12" s="109" customFormat="1" ht="57" customHeight="1" thickBot="1">
      <c r="A80" s="111" t="s">
        <v>342</v>
      </c>
      <c r="B80" s="112"/>
      <c r="C80" s="150"/>
      <c r="D80" s="113">
        <f t="shared" si="3"/>
        <v>1500900</v>
      </c>
      <c r="E80" s="113">
        <f t="shared" si="4"/>
        <v>1500900</v>
      </c>
      <c r="F80" s="113">
        <f t="shared" si="5"/>
        <v>1500900</v>
      </c>
      <c r="G80" s="113">
        <f>'мунзад 19'!E181</f>
        <v>1500900</v>
      </c>
      <c r="H80" s="113">
        <f>'мунзад 20'!E178</f>
        <v>1500900</v>
      </c>
      <c r="I80" s="113">
        <f>'мунзад 21'!E178</f>
        <v>1500900</v>
      </c>
      <c r="J80" s="113"/>
      <c r="K80" s="113"/>
      <c r="L80" s="113"/>
    </row>
    <row r="81" spans="1:12" s="153" customFormat="1" ht="26.25" customHeight="1" thickBot="1">
      <c r="A81" s="64" t="s">
        <v>391</v>
      </c>
      <c r="B81" s="65"/>
      <c r="C81" s="84"/>
      <c r="D81" s="113">
        <f t="shared" si="3"/>
        <v>7378301.289999538</v>
      </c>
      <c r="E81" s="66">
        <f>H81</f>
        <v>5326342.459999997</v>
      </c>
      <c r="F81" s="66">
        <f>I81</f>
        <v>5326342.459999997</v>
      </c>
      <c r="G81" s="113">
        <f>'мунзад 19'!E180+'приносяш 2019'!E148+'приносяш 2019'!H162+'2019'!F59+202907.38</f>
        <v>7378301.289999538</v>
      </c>
      <c r="H81" s="113">
        <f>'мунзад 20'!E177+'приносяш 2020'!E147+'приносяш 2020'!H161+'2020'!F59</f>
        <v>5326342.459999997</v>
      </c>
      <c r="I81" s="113">
        <f>'2021'!F59+'мунзад 19'!E180+'приносяш 2021'!E147+'приносяш 2021'!H161</f>
        <v>5326342.459999997</v>
      </c>
      <c r="J81" s="66"/>
      <c r="K81" s="66"/>
      <c r="L81" s="66"/>
    </row>
    <row r="82" spans="1:12" s="153" customFormat="1" ht="26.25" customHeight="1" hidden="1" thickBot="1">
      <c r="A82" s="64" t="s">
        <v>390</v>
      </c>
      <c r="B82" s="65"/>
      <c r="C82" s="84"/>
      <c r="D82" s="66">
        <f>G82</f>
        <v>0</v>
      </c>
      <c r="E82" s="66">
        <f t="shared" si="4"/>
        <v>0</v>
      </c>
      <c r="F82" s="66">
        <f t="shared" si="5"/>
        <v>0</v>
      </c>
      <c r="G82" s="113"/>
      <c r="H82" s="66"/>
      <c r="I82" s="66"/>
      <c r="J82" s="66"/>
      <c r="K82" s="66"/>
      <c r="L82" s="66"/>
    </row>
    <row r="83" spans="1:12" s="153" customFormat="1" ht="58.5" customHeight="1" hidden="1" thickBot="1">
      <c r="A83" s="64" t="s">
        <v>342</v>
      </c>
      <c r="B83" s="65"/>
      <c r="C83" s="84"/>
      <c r="D83" s="66">
        <f>G83</f>
        <v>0</v>
      </c>
      <c r="E83" s="66">
        <f t="shared" si="4"/>
        <v>0</v>
      </c>
      <c r="F83" s="66">
        <f t="shared" si="5"/>
        <v>0</v>
      </c>
      <c r="G83" s="113"/>
      <c r="H83" s="66"/>
      <c r="I83" s="66"/>
      <c r="J83" s="66"/>
      <c r="K83" s="66"/>
      <c r="L83" s="66"/>
    </row>
    <row r="84" ht="15"/>
    <row r="85" ht="15">
      <c r="A85" s="129"/>
    </row>
    <row r="86" ht="15">
      <c r="A86" s="129"/>
    </row>
    <row r="87" spans="5:8" ht="15">
      <c r="E87" s="95"/>
      <c r="F87" s="98">
        <v>221</v>
      </c>
      <c r="G87" s="166">
        <v>72000</v>
      </c>
      <c r="H87" s="95">
        <f>G87-G28</f>
        <v>72000</v>
      </c>
    </row>
    <row r="88" spans="5:8" ht="15">
      <c r="E88" s="95"/>
      <c r="F88" s="98">
        <v>223</v>
      </c>
      <c r="G88" s="166">
        <f>'2019'!D54</f>
        <v>5342775.8</v>
      </c>
      <c r="H88" s="95">
        <f>G88-G29-G30-G31-G32-G33-G34</f>
        <v>5185264.98</v>
      </c>
    </row>
    <row r="89" spans="5:8" ht="15">
      <c r="E89" s="95"/>
      <c r="F89" s="98">
        <v>225</v>
      </c>
      <c r="G89" s="166">
        <f>'2019'!D56</f>
        <v>4036318.7899999996</v>
      </c>
      <c r="H89" s="95">
        <f>G89-G36-G37-G38-G39-G40-G42-G43-G44-G45-G46-G47-G48-G49-G50-G51-G53-G59</f>
        <v>590466.3399999994</v>
      </c>
    </row>
    <row r="90" spans="5:8" ht="15">
      <c r="E90" s="95"/>
      <c r="F90" s="98">
        <v>226</v>
      </c>
      <c r="G90" s="239">
        <f>'2019'!D57</f>
        <v>964733.8800000001</v>
      </c>
      <c r="H90" s="95">
        <f>G90-G60-G61-G63-G64-G66-G67-G69-G70-G72</f>
        <v>-353135.82999999984</v>
      </c>
    </row>
    <row r="91" spans="5:8" ht="15">
      <c r="E91" s="95"/>
      <c r="F91" s="98">
        <v>310</v>
      </c>
      <c r="G91" s="166">
        <f>G76+G78</f>
        <v>90297.6</v>
      </c>
      <c r="H91" s="95">
        <f>G91-G78</f>
        <v>0</v>
      </c>
    </row>
    <row r="92" spans="5:8" ht="15">
      <c r="E92" s="95"/>
      <c r="F92" s="98">
        <v>340</v>
      </c>
      <c r="G92" s="166">
        <f>'2019'!D59</f>
        <v>9391132.889999539</v>
      </c>
      <c r="H92" s="95">
        <f>G92-G79-G80-G81</f>
        <v>0</v>
      </c>
    </row>
    <row r="93" ht="15">
      <c r="H93" s="95">
        <f>G93-E93</f>
        <v>0</v>
      </c>
    </row>
    <row r="94" spans="5:8" ht="15">
      <c r="E94" s="95"/>
      <c r="G94" s="166">
        <f>SUM(G87:G92)</f>
        <v>19897258.95999954</v>
      </c>
      <c r="H94" s="95">
        <f>G94-E94</f>
        <v>19897258.95999954</v>
      </c>
    </row>
  </sheetData>
  <sheetProtection/>
  <mergeCells count="10">
    <mergeCell ref="G6:I6"/>
    <mergeCell ref="J6:L6"/>
    <mergeCell ref="A1:L1"/>
    <mergeCell ref="A2:L2"/>
    <mergeCell ref="A4:A7"/>
    <mergeCell ref="B4:B7"/>
    <mergeCell ref="C4:C7"/>
    <mergeCell ref="D4:L4"/>
    <mergeCell ref="D5:F6"/>
    <mergeCell ref="G5:L5"/>
  </mergeCells>
  <hyperlinks>
    <hyperlink ref="G6" r:id="rId1" display="consultantplus://offline/ref=EC513630DD0A2F9B2EC0205798B851993A5256DB8AC84308CDDA19182EHCNCC"/>
    <hyperlink ref="J6" r:id="rId2" display="consultantplus://offline/ref=EC513630DD0A2F9B2EC0205798B851993A5256DC8DCE4308CDDA19182EHCNCC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1"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3:PAR1206"/>
  <sheetViews>
    <sheetView view="pageBreakPreview" zoomScale="60" zoomScaleNormal="70" zoomScalePageLayoutView="0" workbookViewId="0" topLeftCell="A52">
      <selection activeCell="H11" sqref="H11:H12"/>
    </sheetView>
  </sheetViews>
  <sheetFormatPr defaultColWidth="28.8515625" defaultRowHeight="15"/>
  <cols>
    <col min="1" max="1" width="93.7109375" style="15" customWidth="1"/>
    <col min="2" max="2" width="9.57421875" style="15" customWidth="1"/>
    <col min="3" max="3" width="27.7109375" style="15" customWidth="1"/>
    <col min="4" max="4" width="32.140625" style="15" customWidth="1"/>
    <col min="5" max="5" width="24.8515625" style="15" customWidth="1"/>
    <col min="6" max="6" width="21.421875" style="15" customWidth="1"/>
    <col min="7" max="7" width="18.57421875" style="15" customWidth="1"/>
    <col min="8" max="8" width="22.421875" style="15" customWidth="1"/>
    <col min="9" max="9" width="22.28125" style="15" customWidth="1"/>
    <col min="10" max="10" width="24.7109375" style="15" customWidth="1"/>
    <col min="11" max="11" width="16.8515625" style="15" customWidth="1"/>
    <col min="12" max="12" width="23.8515625" style="15" customWidth="1"/>
    <col min="13" max="13" width="36.421875" style="15" customWidth="1"/>
    <col min="14" max="16384" width="28.8515625" style="15" customWidth="1"/>
  </cols>
  <sheetData>
    <row r="1" ht="15"/>
    <row r="2" ht="15"/>
    <row r="3" spans="1:9" ht="19.5" customHeight="1">
      <c r="A3" s="342" t="s">
        <v>88</v>
      </c>
      <c r="B3" s="342"/>
      <c r="C3" s="342"/>
      <c r="D3" s="342"/>
      <c r="E3" s="342"/>
      <c r="F3" s="342"/>
      <c r="G3" s="342"/>
      <c r="H3" s="342"/>
      <c r="I3" s="342"/>
    </row>
    <row r="4" spans="1:9" ht="18.75">
      <c r="A4" s="339" t="s">
        <v>415</v>
      </c>
      <c r="B4" s="339"/>
      <c r="C4" s="339"/>
      <c r="D4" s="339"/>
      <c r="E4" s="339"/>
      <c r="F4" s="339"/>
      <c r="G4" s="339"/>
      <c r="H4" s="339"/>
      <c r="I4" s="339"/>
    </row>
    <row r="5" ht="18" customHeight="1" thickBot="1">
      <c r="I5" s="15" t="s">
        <v>89</v>
      </c>
    </row>
    <row r="6" spans="1:9" ht="19.5" customHeight="1" thickBot="1">
      <c r="A6" s="391" t="s">
        <v>37</v>
      </c>
      <c r="B6" s="394" t="s">
        <v>38</v>
      </c>
      <c r="C6" s="394" t="s">
        <v>39</v>
      </c>
      <c r="D6" s="397" t="s">
        <v>40</v>
      </c>
      <c r="E6" s="398"/>
      <c r="F6" s="398"/>
      <c r="G6" s="398"/>
      <c r="H6" s="398"/>
      <c r="I6" s="399"/>
    </row>
    <row r="7" spans="1:9" ht="16.5" thickBot="1">
      <c r="A7" s="392"/>
      <c r="B7" s="395"/>
      <c r="C7" s="395"/>
      <c r="D7" s="394" t="s">
        <v>41</v>
      </c>
      <c r="E7" s="397" t="s">
        <v>22</v>
      </c>
      <c r="F7" s="398"/>
      <c r="G7" s="398"/>
      <c r="H7" s="398"/>
      <c r="I7" s="399"/>
    </row>
    <row r="8" spans="1:9" ht="54" customHeight="1" thickBot="1">
      <c r="A8" s="392"/>
      <c r="B8" s="395"/>
      <c r="C8" s="395"/>
      <c r="D8" s="395"/>
      <c r="E8" s="394" t="s">
        <v>42</v>
      </c>
      <c r="F8" s="400" t="s">
        <v>43</v>
      </c>
      <c r="G8" s="394" t="s">
        <v>44</v>
      </c>
      <c r="H8" s="397" t="s">
        <v>45</v>
      </c>
      <c r="I8" s="399"/>
    </row>
    <row r="9" spans="1:9" ht="32.25" customHeight="1" thickBot="1">
      <c r="A9" s="393"/>
      <c r="B9" s="396"/>
      <c r="C9" s="396"/>
      <c r="D9" s="396"/>
      <c r="E9" s="396"/>
      <c r="F9" s="401"/>
      <c r="G9" s="396"/>
      <c r="H9" s="18" t="s">
        <v>41</v>
      </c>
      <c r="I9" s="18" t="s">
        <v>46</v>
      </c>
    </row>
    <row r="10" spans="1:9" ht="19.5" thickBot="1">
      <c r="A10" s="2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15" s="56" customFormat="1" ht="27.75" customHeight="1" thickBot="1">
      <c r="A11" s="57" t="s">
        <v>47</v>
      </c>
      <c r="B11" s="58" t="s">
        <v>231</v>
      </c>
      <c r="C11" s="59" t="s">
        <v>48</v>
      </c>
      <c r="D11" s="60">
        <v>0</v>
      </c>
      <c r="E11" s="60">
        <f>496337.76+1527507.66+576257.75</f>
        <v>2600103.17</v>
      </c>
      <c r="F11" s="60">
        <v>0</v>
      </c>
      <c r="G11" s="60">
        <v>0</v>
      </c>
      <c r="H11" s="60">
        <v>217582.44</v>
      </c>
      <c r="I11" s="60">
        <v>0</v>
      </c>
      <c r="M11" s="56" t="s">
        <v>237</v>
      </c>
      <c r="N11" s="96" t="e">
        <f>D11+#REF!</f>
        <v>#REF!</v>
      </c>
      <c r="O11" s="96" t="e">
        <f>N11-#REF!</f>
        <v>#REF!</v>
      </c>
    </row>
    <row r="12" spans="1:9" s="56" customFormat="1" ht="27.75" customHeight="1" thickBot="1">
      <c r="A12" s="57" t="s">
        <v>49</v>
      </c>
      <c r="B12" s="58" t="s">
        <v>232</v>
      </c>
      <c r="C12" s="59" t="s">
        <v>48</v>
      </c>
      <c r="D12" s="60">
        <f>D13+D17+D20+D25+D26</f>
        <v>58300642.45599953</v>
      </c>
      <c r="E12" s="60">
        <f>E17</f>
        <v>49441099.99599999</v>
      </c>
      <c r="F12" s="60">
        <f>F25</f>
        <v>3563200</v>
      </c>
      <c r="G12" s="60">
        <f>G25</f>
        <v>0</v>
      </c>
      <c r="H12" s="60">
        <f>H13+H20+H26</f>
        <v>5296342.459999539</v>
      </c>
      <c r="I12" s="60">
        <v>0</v>
      </c>
    </row>
    <row r="13" spans="1:13" s="44" customFormat="1" ht="15" customHeight="1">
      <c r="A13" s="364" t="s">
        <v>238</v>
      </c>
      <c r="B13" s="387" t="s">
        <v>233</v>
      </c>
      <c r="C13" s="389">
        <v>120</v>
      </c>
      <c r="D13" s="379">
        <f>D15</f>
        <v>9544.9</v>
      </c>
      <c r="E13" s="379" t="s">
        <v>48</v>
      </c>
      <c r="F13" s="379" t="s">
        <v>48</v>
      </c>
      <c r="G13" s="379" t="s">
        <v>48</v>
      </c>
      <c r="H13" s="379">
        <f>H15</f>
        <v>9544.9</v>
      </c>
      <c r="I13" s="385" t="s">
        <v>48</v>
      </c>
      <c r="M13" s="366" t="s">
        <v>239</v>
      </c>
    </row>
    <row r="14" spans="1:13" s="44" customFormat="1" ht="15" customHeight="1" thickBot="1">
      <c r="A14" s="365"/>
      <c r="B14" s="388"/>
      <c r="C14" s="390"/>
      <c r="D14" s="380"/>
      <c r="E14" s="380"/>
      <c r="F14" s="380"/>
      <c r="G14" s="380"/>
      <c r="H14" s="380"/>
      <c r="I14" s="386"/>
      <c r="M14" s="366"/>
    </row>
    <row r="15" spans="1:13" ht="18.75" customHeight="1">
      <c r="A15" s="16" t="s">
        <v>4</v>
      </c>
      <c r="B15" s="381" t="s">
        <v>234</v>
      </c>
      <c r="C15" s="349">
        <v>120</v>
      </c>
      <c r="D15" s="367">
        <f>H15</f>
        <v>9544.9</v>
      </c>
      <c r="E15" s="367" t="s">
        <v>48</v>
      </c>
      <c r="F15" s="367" t="s">
        <v>48</v>
      </c>
      <c r="G15" s="367" t="s">
        <v>48</v>
      </c>
      <c r="H15" s="367">
        <f>'приносяш 2019'!E116</f>
        <v>9544.9</v>
      </c>
      <c r="I15" s="347" t="s">
        <v>48</v>
      </c>
      <c r="M15" s="366"/>
    </row>
    <row r="16" spans="1:13" ht="37.5" customHeight="1" thickBot="1">
      <c r="A16" s="17" t="s">
        <v>50</v>
      </c>
      <c r="B16" s="382"/>
      <c r="C16" s="350"/>
      <c r="D16" s="368"/>
      <c r="E16" s="368"/>
      <c r="F16" s="368"/>
      <c r="G16" s="368"/>
      <c r="H16" s="368"/>
      <c r="I16" s="348"/>
      <c r="M16" s="366"/>
    </row>
    <row r="17" spans="1:14" s="49" customFormat="1" ht="26.25" customHeight="1" thickBot="1">
      <c r="A17" s="45" t="s">
        <v>51</v>
      </c>
      <c r="B17" s="46" t="s">
        <v>235</v>
      </c>
      <c r="C17" s="47">
        <v>130</v>
      </c>
      <c r="D17" s="163">
        <f>D18</f>
        <v>49441099.99599999</v>
      </c>
      <c r="E17" s="163">
        <f>E18</f>
        <v>49441099.99599999</v>
      </c>
      <c r="F17" s="163" t="s">
        <v>48</v>
      </c>
      <c r="G17" s="163" t="s">
        <v>48</v>
      </c>
      <c r="H17" s="163">
        <f>H18</f>
        <v>0</v>
      </c>
      <c r="I17" s="48">
        <f>I18</f>
        <v>0</v>
      </c>
      <c r="M17" s="49" t="s">
        <v>240</v>
      </c>
      <c r="N17" s="50">
        <f>E17-E27</f>
        <v>-2600103.170000002</v>
      </c>
    </row>
    <row r="18" spans="1:9" ht="18.75">
      <c r="A18" s="16" t="s">
        <v>52</v>
      </c>
      <c r="B18" s="381" t="s">
        <v>236</v>
      </c>
      <c r="C18" s="349">
        <v>130</v>
      </c>
      <c r="D18" s="367">
        <f>E18+H18</f>
        <v>49441099.99599999</v>
      </c>
      <c r="E18" s="367">
        <f>E27-E11</f>
        <v>49441099.99599999</v>
      </c>
      <c r="F18" s="367" t="s">
        <v>48</v>
      </c>
      <c r="G18" s="367" t="s">
        <v>48</v>
      </c>
      <c r="H18" s="367">
        <v>0</v>
      </c>
      <c r="I18" s="347">
        <v>0</v>
      </c>
    </row>
    <row r="19" spans="1:10" ht="37.5" customHeight="1" thickBot="1">
      <c r="A19" s="17" t="s">
        <v>53</v>
      </c>
      <c r="B19" s="382"/>
      <c r="C19" s="350"/>
      <c r="D19" s="368"/>
      <c r="E19" s="368"/>
      <c r="F19" s="368"/>
      <c r="G19" s="368"/>
      <c r="H19" s="368"/>
      <c r="I19" s="348"/>
      <c r="J19" s="95"/>
    </row>
    <row r="20" spans="1:13" s="49" customFormat="1" ht="36.75" customHeight="1" thickBot="1">
      <c r="A20" s="45" t="s">
        <v>54</v>
      </c>
      <c r="B20" s="46" t="s">
        <v>241</v>
      </c>
      <c r="C20" s="47">
        <v>130</v>
      </c>
      <c r="D20" s="163">
        <f>D21+D23+D24</f>
        <v>5286797.559999539</v>
      </c>
      <c r="E20" s="163" t="s">
        <v>48</v>
      </c>
      <c r="F20" s="163" t="s">
        <v>48</v>
      </c>
      <c r="G20" s="163" t="s">
        <v>48</v>
      </c>
      <c r="H20" s="163">
        <f>H21+H23</f>
        <v>5286797.559999539</v>
      </c>
      <c r="I20" s="48">
        <v>0</v>
      </c>
      <c r="M20" s="50">
        <f>H20+H13-H47</f>
        <v>-217538.25999999885</v>
      </c>
    </row>
    <row r="21" spans="1:9" ht="18.75">
      <c r="A21" s="16" t="s">
        <v>22</v>
      </c>
      <c r="B21" s="381" t="s">
        <v>242</v>
      </c>
      <c r="C21" s="349">
        <v>130</v>
      </c>
      <c r="D21" s="367">
        <f>H21</f>
        <v>0</v>
      </c>
      <c r="E21" s="367" t="s">
        <v>48</v>
      </c>
      <c r="F21" s="367" t="s">
        <v>48</v>
      </c>
      <c r="G21" s="367" t="s">
        <v>48</v>
      </c>
      <c r="H21" s="367">
        <v>0</v>
      </c>
      <c r="I21" s="383">
        <v>0</v>
      </c>
    </row>
    <row r="22" spans="1:13" ht="21" customHeight="1" thickBot="1">
      <c r="A22" s="17" t="s">
        <v>55</v>
      </c>
      <c r="B22" s="382"/>
      <c r="C22" s="350"/>
      <c r="D22" s="368"/>
      <c r="E22" s="368"/>
      <c r="F22" s="368"/>
      <c r="G22" s="368"/>
      <c r="H22" s="368"/>
      <c r="I22" s="384"/>
      <c r="M22" s="98" t="s">
        <v>338</v>
      </c>
    </row>
    <row r="23" spans="1:13" ht="27.75" customHeight="1" thickBot="1">
      <c r="A23" s="17" t="s">
        <v>56</v>
      </c>
      <c r="B23" s="43" t="s">
        <v>243</v>
      </c>
      <c r="C23" s="3">
        <v>130</v>
      </c>
      <c r="D23" s="113">
        <f>H23</f>
        <v>5286797.559999539</v>
      </c>
      <c r="E23" s="113" t="s">
        <v>48</v>
      </c>
      <c r="F23" s="113" t="s">
        <v>48</v>
      </c>
      <c r="G23" s="113" t="s">
        <v>48</v>
      </c>
      <c r="H23" s="113">
        <f>'приносяш 2019'!D139+'приносяш 2019'!E148+'приносяш 2019'!H162</f>
        <v>5286797.559999539</v>
      </c>
      <c r="I23" s="21">
        <v>0</v>
      </c>
      <c r="M23" s="95"/>
    </row>
    <row r="24" spans="1:9" ht="27.75" customHeight="1" thickBot="1">
      <c r="A24" s="17" t="s">
        <v>57</v>
      </c>
      <c r="B24" s="43" t="s">
        <v>244</v>
      </c>
      <c r="C24" s="3">
        <v>140</v>
      </c>
      <c r="D24" s="113">
        <f>H24</f>
        <v>0</v>
      </c>
      <c r="E24" s="113" t="s">
        <v>48</v>
      </c>
      <c r="F24" s="113" t="s">
        <v>48</v>
      </c>
      <c r="G24" s="113" t="s">
        <v>48</v>
      </c>
      <c r="H24" s="113"/>
      <c r="I24" s="21" t="s">
        <v>48</v>
      </c>
    </row>
    <row r="25" spans="1:9" s="49" customFormat="1" ht="27.75" customHeight="1" thickBot="1">
      <c r="A25" s="45" t="s">
        <v>58</v>
      </c>
      <c r="B25" s="46" t="s">
        <v>245</v>
      </c>
      <c r="C25" s="47">
        <v>180</v>
      </c>
      <c r="D25" s="163">
        <f>F25+G25</f>
        <v>3563200</v>
      </c>
      <c r="E25" s="163" t="s">
        <v>48</v>
      </c>
      <c r="F25" s="163">
        <f>F27</f>
        <v>3563200</v>
      </c>
      <c r="G25" s="163">
        <v>0</v>
      </c>
      <c r="H25" s="163" t="s">
        <v>48</v>
      </c>
      <c r="I25" s="48" t="s">
        <v>48</v>
      </c>
    </row>
    <row r="26" spans="1:9" s="49" customFormat="1" ht="27.75" customHeight="1" thickBot="1">
      <c r="A26" s="51" t="s">
        <v>59</v>
      </c>
      <c r="B26" s="46" t="s">
        <v>247</v>
      </c>
      <c r="C26" s="47">
        <v>180</v>
      </c>
      <c r="D26" s="48">
        <f>H26</f>
        <v>0</v>
      </c>
      <c r="E26" s="48" t="s">
        <v>48</v>
      </c>
      <c r="F26" s="48" t="s">
        <v>48</v>
      </c>
      <c r="G26" s="48" t="s">
        <v>48</v>
      </c>
      <c r="H26" s="48">
        <v>0</v>
      </c>
      <c r="I26" s="48">
        <v>0</v>
      </c>
    </row>
    <row r="27" spans="1:15" s="61" customFormat="1" ht="27.75" customHeight="1" thickBot="1">
      <c r="A27" s="52" t="s">
        <v>60</v>
      </c>
      <c r="B27" s="53" t="s">
        <v>248</v>
      </c>
      <c r="C27" s="54" t="s">
        <v>48</v>
      </c>
      <c r="D27" s="55">
        <f>D28+D34+D37+D43+D47</f>
        <v>61118328.06599954</v>
      </c>
      <c r="E27" s="55">
        <f>E28+E34+E37+E43+E47</f>
        <v>52041203.16599999</v>
      </c>
      <c r="F27" s="55">
        <f>F28+F34+F37+F43+F47</f>
        <v>3563200</v>
      </c>
      <c r="G27" s="55">
        <f>G28+G34+G37+G43+G47</f>
        <v>0</v>
      </c>
      <c r="H27" s="55">
        <f>H28+H34+H37+H43+H47</f>
        <v>5513924.8999995375</v>
      </c>
      <c r="I27" s="55"/>
      <c r="M27" s="61" t="s">
        <v>246</v>
      </c>
      <c r="N27" s="99">
        <f>57589356.83-E27</f>
        <v>5548153.6640000045</v>
      </c>
      <c r="O27" s="99" t="s">
        <v>337</v>
      </c>
    </row>
    <row r="28" spans="1:9" s="109" customFormat="1" ht="18.75">
      <c r="A28" s="164" t="s">
        <v>22</v>
      </c>
      <c r="B28" s="375" t="s">
        <v>249</v>
      </c>
      <c r="C28" s="377">
        <v>100</v>
      </c>
      <c r="D28" s="379">
        <f>D30+D32+D33</f>
        <v>39201627.92999999</v>
      </c>
      <c r="E28" s="379">
        <f>E30+E32+E33</f>
        <v>37699527.92999999</v>
      </c>
      <c r="F28" s="379">
        <f>F30+F32+F33</f>
        <v>1502100</v>
      </c>
      <c r="G28" s="379">
        <f>G30+G32+G33</f>
        <v>0</v>
      </c>
      <c r="H28" s="379">
        <f>H30+H32+H33</f>
        <v>0</v>
      </c>
      <c r="I28" s="379"/>
    </row>
    <row r="29" spans="1:13" s="109" customFormat="1" ht="21" customHeight="1" thickBot="1">
      <c r="A29" s="165" t="s">
        <v>61</v>
      </c>
      <c r="B29" s="376"/>
      <c r="C29" s="378"/>
      <c r="D29" s="380"/>
      <c r="E29" s="380"/>
      <c r="F29" s="380"/>
      <c r="G29" s="380"/>
      <c r="H29" s="380"/>
      <c r="I29" s="380"/>
      <c r="M29" s="166"/>
    </row>
    <row r="30" spans="1:9" s="109" customFormat="1" ht="18.75">
      <c r="A30" s="167" t="s">
        <v>4</v>
      </c>
      <c r="B30" s="369" t="s">
        <v>250</v>
      </c>
      <c r="C30" s="371">
        <v>111</v>
      </c>
      <c r="D30" s="367">
        <f>E30+F30+G30+H30</f>
        <v>29690881.809999995</v>
      </c>
      <c r="E30" s="367">
        <f>'мунзад 19'!J31+1527507.66</f>
        <v>29305249.809999995</v>
      </c>
      <c r="F30" s="367">
        <v>385632</v>
      </c>
      <c r="G30" s="367">
        <v>0</v>
      </c>
      <c r="H30" s="367">
        <v>0</v>
      </c>
      <c r="I30" s="367"/>
    </row>
    <row r="31" spans="1:10" s="109" customFormat="1" ht="23.25" customHeight="1" thickBot="1">
      <c r="A31" s="168" t="s">
        <v>62</v>
      </c>
      <c r="B31" s="370"/>
      <c r="C31" s="372"/>
      <c r="D31" s="368"/>
      <c r="E31" s="368"/>
      <c r="F31" s="368"/>
      <c r="G31" s="368"/>
      <c r="H31" s="368"/>
      <c r="I31" s="368"/>
      <c r="J31" s="297">
        <f>38848091.61-E30</f>
        <v>9542841.800000004</v>
      </c>
    </row>
    <row r="32" spans="1:10" s="109" customFormat="1" ht="38.25" customHeight="1" thickBot="1">
      <c r="A32" s="111" t="s">
        <v>63</v>
      </c>
      <c r="B32" s="161" t="s">
        <v>251</v>
      </c>
      <c r="C32" s="112">
        <v>112</v>
      </c>
      <c r="D32" s="113">
        <f>E32+F32+G32+H32</f>
        <v>1005400</v>
      </c>
      <c r="E32" s="113">
        <f>'мунзад 19'!F46</f>
        <v>5400</v>
      </c>
      <c r="F32" s="113">
        <f>250000+750000</f>
        <v>1000000</v>
      </c>
      <c r="G32" s="113">
        <v>0</v>
      </c>
      <c r="H32" s="113">
        <v>0</v>
      </c>
      <c r="I32" s="113"/>
      <c r="J32" s="297"/>
    </row>
    <row r="33" spans="1:10" s="109" customFormat="1" ht="60.75" customHeight="1" thickBot="1">
      <c r="A33" s="111" t="s">
        <v>64</v>
      </c>
      <c r="B33" s="161" t="s">
        <v>252</v>
      </c>
      <c r="C33" s="112">
        <v>119</v>
      </c>
      <c r="D33" s="113">
        <f>E33+F33+G33+H33</f>
        <v>8505346.12</v>
      </c>
      <c r="E33" s="113">
        <f>'мунзад 19'!D58</f>
        <v>8388878.12</v>
      </c>
      <c r="F33" s="113">
        <v>116468</v>
      </c>
      <c r="G33" s="113">
        <v>0</v>
      </c>
      <c r="H33" s="113">
        <v>0</v>
      </c>
      <c r="I33" s="113"/>
      <c r="J33" s="297">
        <f>11732123.66-E33</f>
        <v>3343245.540000001</v>
      </c>
    </row>
    <row r="34" spans="1:9" s="109" customFormat="1" ht="27" customHeight="1" thickBot="1">
      <c r="A34" s="169" t="s">
        <v>65</v>
      </c>
      <c r="B34" s="170" t="s">
        <v>253</v>
      </c>
      <c r="C34" s="141">
        <v>300</v>
      </c>
      <c r="D34" s="163">
        <f>D35</f>
        <v>0</v>
      </c>
      <c r="E34" s="163">
        <f>E35</f>
        <v>0</v>
      </c>
      <c r="F34" s="163">
        <f>F35</f>
        <v>0</v>
      </c>
      <c r="G34" s="163">
        <f>G35</f>
        <v>0</v>
      </c>
      <c r="H34" s="163">
        <f>H35</f>
        <v>0</v>
      </c>
      <c r="I34" s="163"/>
    </row>
    <row r="35" spans="1:9" s="109" customFormat="1" ht="18.75">
      <c r="A35" s="171" t="s">
        <v>4</v>
      </c>
      <c r="B35" s="369" t="s">
        <v>254</v>
      </c>
      <c r="C35" s="371">
        <v>321</v>
      </c>
      <c r="D35" s="367">
        <f>E35+F35+G35+H35</f>
        <v>0</v>
      </c>
      <c r="E35" s="367">
        <v>0</v>
      </c>
      <c r="F35" s="367">
        <v>0</v>
      </c>
      <c r="G35" s="367">
        <v>0</v>
      </c>
      <c r="H35" s="367">
        <v>0</v>
      </c>
      <c r="I35" s="367"/>
    </row>
    <row r="36" spans="1:9" s="109" customFormat="1" ht="39.75" customHeight="1" thickBot="1">
      <c r="A36" s="111" t="s">
        <v>66</v>
      </c>
      <c r="B36" s="370"/>
      <c r="C36" s="372"/>
      <c r="D36" s="368"/>
      <c r="E36" s="368"/>
      <c r="F36" s="368"/>
      <c r="G36" s="368"/>
      <c r="H36" s="368"/>
      <c r="I36" s="368"/>
    </row>
    <row r="37" spans="1:9" s="109" customFormat="1" ht="27.75" customHeight="1" thickBot="1">
      <c r="A37" s="169" t="s">
        <v>67</v>
      </c>
      <c r="B37" s="170" t="s">
        <v>255</v>
      </c>
      <c r="C37" s="141">
        <v>850</v>
      </c>
      <c r="D37" s="163">
        <f>D38+D40+D41+D42</f>
        <v>2032241.180000007</v>
      </c>
      <c r="E37" s="163">
        <f>E38+E40+E41+E42</f>
        <v>2032197.000000007</v>
      </c>
      <c r="F37" s="163">
        <f>F38+F40+F41+F42</f>
        <v>0</v>
      </c>
      <c r="G37" s="163">
        <f>G40</f>
        <v>0</v>
      </c>
      <c r="H37" s="163">
        <f>H38+H40+H41+H42</f>
        <v>44.18</v>
      </c>
      <c r="I37" s="163"/>
    </row>
    <row r="38" spans="1:9" s="109" customFormat="1" ht="15" customHeight="1">
      <c r="A38" s="171" t="s">
        <v>4</v>
      </c>
      <c r="B38" s="369" t="s">
        <v>256</v>
      </c>
      <c r="C38" s="371">
        <v>851</v>
      </c>
      <c r="D38" s="367">
        <f>E38+F38+H38</f>
        <v>906852.0000000121</v>
      </c>
      <c r="E38" s="373">
        <f>'мунзад 19'!E79</f>
        <v>906852.0000000121</v>
      </c>
      <c r="F38" s="367">
        <v>0</v>
      </c>
      <c r="G38" s="367" t="s">
        <v>48</v>
      </c>
      <c r="H38" s="367">
        <v>0</v>
      </c>
      <c r="I38" s="367"/>
    </row>
    <row r="39" spans="1:9" s="109" customFormat="1" ht="22.5" customHeight="1" thickBot="1">
      <c r="A39" s="111" t="s">
        <v>87</v>
      </c>
      <c r="B39" s="370"/>
      <c r="C39" s="372"/>
      <c r="D39" s="368"/>
      <c r="E39" s="374"/>
      <c r="F39" s="368"/>
      <c r="G39" s="368"/>
      <c r="H39" s="368"/>
      <c r="I39" s="368"/>
    </row>
    <row r="40" spans="1:9" s="109" customFormat="1" ht="24.75" customHeight="1" thickBot="1">
      <c r="A40" s="162" t="s">
        <v>68</v>
      </c>
      <c r="B40" s="161" t="s">
        <v>257</v>
      </c>
      <c r="C40" s="112">
        <v>851</v>
      </c>
      <c r="D40" s="113">
        <f>E40+F40+G40+H40</f>
        <v>1108174.9999999949</v>
      </c>
      <c r="E40" s="290">
        <f>'мунзад 19'!E80</f>
        <v>1108174.9999999949</v>
      </c>
      <c r="F40" s="113">
        <v>0</v>
      </c>
      <c r="G40" s="113">
        <v>0</v>
      </c>
      <c r="H40" s="113">
        <v>0</v>
      </c>
      <c r="I40" s="113"/>
    </row>
    <row r="41" spans="1:9" s="109" customFormat="1" ht="24.75" customHeight="1" thickBot="1">
      <c r="A41" s="111" t="s">
        <v>69</v>
      </c>
      <c r="B41" s="161" t="s">
        <v>258</v>
      </c>
      <c r="C41" s="112">
        <v>852</v>
      </c>
      <c r="D41" s="113">
        <f>E41+F41+H41</f>
        <v>17170</v>
      </c>
      <c r="E41" s="290">
        <f>'мунзад 19'!E81</f>
        <v>17170</v>
      </c>
      <c r="F41" s="113">
        <v>0</v>
      </c>
      <c r="G41" s="113" t="s">
        <v>48</v>
      </c>
      <c r="H41" s="113">
        <v>0</v>
      </c>
      <c r="I41" s="113"/>
    </row>
    <row r="42" spans="1:9" s="109" customFormat="1" ht="22.5" customHeight="1" thickBot="1">
      <c r="A42" s="111" t="s">
        <v>70</v>
      </c>
      <c r="B42" s="161" t="s">
        <v>259</v>
      </c>
      <c r="C42" s="112">
        <v>853</v>
      </c>
      <c r="D42" s="113">
        <f>E42+F42+H42</f>
        <v>44.18</v>
      </c>
      <c r="E42" s="113">
        <f>'мунзад 19'!E83</f>
        <v>0</v>
      </c>
      <c r="F42" s="113">
        <v>0</v>
      </c>
      <c r="G42" s="113" t="s">
        <v>48</v>
      </c>
      <c r="H42" s="113">
        <v>44.18</v>
      </c>
      <c r="I42" s="113"/>
    </row>
    <row r="43" spans="1:9" s="172" customFormat="1" ht="37.5" customHeight="1" thickBot="1">
      <c r="A43" s="169" t="s">
        <v>71</v>
      </c>
      <c r="B43" s="170" t="s">
        <v>260</v>
      </c>
      <c r="C43" s="141">
        <v>400</v>
      </c>
      <c r="D43" s="163">
        <f>D44+D46</f>
        <v>0</v>
      </c>
      <c r="E43" s="163">
        <f>E44+E46</f>
        <v>0</v>
      </c>
      <c r="F43" s="163">
        <f>F44+F46</f>
        <v>0</v>
      </c>
      <c r="G43" s="163">
        <f>G44+G46</f>
        <v>0</v>
      </c>
      <c r="H43" s="163">
        <f>H44+H46</f>
        <v>0</v>
      </c>
      <c r="I43" s="163"/>
    </row>
    <row r="44" spans="1:9" s="109" customFormat="1" ht="18.75">
      <c r="A44" s="167" t="s">
        <v>4</v>
      </c>
      <c r="B44" s="369" t="s">
        <v>261</v>
      </c>
      <c r="C44" s="371">
        <v>416</v>
      </c>
      <c r="D44" s="367">
        <f>E44+F44+G44+H44</f>
        <v>0</v>
      </c>
      <c r="E44" s="367">
        <v>0</v>
      </c>
      <c r="F44" s="367">
        <v>0</v>
      </c>
      <c r="G44" s="367">
        <v>0</v>
      </c>
      <c r="H44" s="367">
        <v>0</v>
      </c>
      <c r="I44" s="367"/>
    </row>
    <row r="45" spans="1:9" s="109" customFormat="1" ht="39" customHeight="1" thickBot="1">
      <c r="A45" s="162" t="s">
        <v>72</v>
      </c>
      <c r="B45" s="370"/>
      <c r="C45" s="372"/>
      <c r="D45" s="368"/>
      <c r="E45" s="368"/>
      <c r="F45" s="368"/>
      <c r="G45" s="368"/>
      <c r="H45" s="368"/>
      <c r="I45" s="368"/>
    </row>
    <row r="46" spans="1:9" s="109" customFormat="1" ht="44.25" customHeight="1" thickBot="1">
      <c r="A46" s="162" t="s">
        <v>73</v>
      </c>
      <c r="B46" s="161" t="s">
        <v>262</v>
      </c>
      <c r="C46" s="112">
        <v>417</v>
      </c>
      <c r="D46" s="113">
        <f>E46+F46+G46+H46</f>
        <v>0</v>
      </c>
      <c r="E46" s="113">
        <v>0</v>
      </c>
      <c r="F46" s="113">
        <v>0</v>
      </c>
      <c r="G46" s="113">
        <v>0</v>
      </c>
      <c r="H46" s="113">
        <v>0</v>
      </c>
      <c r="I46" s="113"/>
    </row>
    <row r="47" spans="1:14" s="172" customFormat="1" ht="27" customHeight="1" thickBot="1">
      <c r="A47" s="300" t="s">
        <v>74</v>
      </c>
      <c r="B47" s="301" t="s">
        <v>263</v>
      </c>
      <c r="C47" s="302">
        <v>200</v>
      </c>
      <c r="D47" s="303">
        <f>D48+D50</f>
        <v>19884458.95599954</v>
      </c>
      <c r="E47" s="303">
        <f>E48+E50</f>
        <v>12309478.235999998</v>
      </c>
      <c r="F47" s="303">
        <f>F48+F50</f>
        <v>2061100</v>
      </c>
      <c r="G47" s="303">
        <f>G48+G50</f>
        <v>0</v>
      </c>
      <c r="H47" s="303">
        <f>H48+H50</f>
        <v>5513880.719999538</v>
      </c>
      <c r="I47" s="303"/>
      <c r="M47" s="173"/>
      <c r="N47" s="173"/>
    </row>
    <row r="48" spans="1:14" s="109" customFormat="1" ht="18.75">
      <c r="A48" s="167" t="s">
        <v>4</v>
      </c>
      <c r="B48" s="369" t="s">
        <v>264</v>
      </c>
      <c r="C48" s="371">
        <v>243</v>
      </c>
      <c r="D48" s="367">
        <f>E48+F48+G48+H48</f>
        <v>0</v>
      </c>
      <c r="E48" s="367">
        <v>0</v>
      </c>
      <c r="F48" s="367">
        <v>0</v>
      </c>
      <c r="G48" s="367">
        <v>0</v>
      </c>
      <c r="H48" s="367">
        <v>0</v>
      </c>
      <c r="I48" s="367"/>
      <c r="N48" s="166"/>
    </row>
    <row r="49" spans="1:9" s="109" customFormat="1" ht="36" customHeight="1" thickBot="1">
      <c r="A49" s="168" t="s">
        <v>75</v>
      </c>
      <c r="B49" s="370"/>
      <c r="C49" s="372"/>
      <c r="D49" s="368"/>
      <c r="E49" s="368"/>
      <c r="F49" s="368"/>
      <c r="G49" s="368"/>
      <c r="H49" s="368"/>
      <c r="I49" s="368"/>
    </row>
    <row r="50" spans="1:9" s="109" customFormat="1" ht="33" customHeight="1" thickBot="1">
      <c r="A50" s="189" t="s">
        <v>76</v>
      </c>
      <c r="B50" s="191" t="s">
        <v>265</v>
      </c>
      <c r="C50" s="112">
        <v>244</v>
      </c>
      <c r="D50" s="113">
        <f>D54+D55+D56+D57+D58+D59+D51+D53</f>
        <v>19884458.95599954</v>
      </c>
      <c r="E50" s="113">
        <f>E54+E55+E56+E57+E58+E59+E51+E53</f>
        <v>12309478.235999998</v>
      </c>
      <c r="F50" s="113">
        <f>F54+F55+F56+F57+F58+F59</f>
        <v>2061100</v>
      </c>
      <c r="G50" s="113">
        <f>G54+G56+G57+G58+G59</f>
        <v>0</v>
      </c>
      <c r="H50" s="113">
        <f>H54+H55+H56+H57+H58+H59</f>
        <v>5513880.719999538</v>
      </c>
      <c r="I50" s="113"/>
    </row>
    <row r="51" spans="1:9" s="109" customFormat="1" ht="18.75">
      <c r="A51" s="174" t="s">
        <v>4</v>
      </c>
      <c r="B51" s="369" t="s">
        <v>266</v>
      </c>
      <c r="C51" s="371">
        <v>244</v>
      </c>
      <c r="D51" s="367">
        <f>E51+F51+H51</f>
        <v>59199.996</v>
      </c>
      <c r="E51" s="367">
        <f>'мунзад 19'!F97</f>
        <v>59199.996</v>
      </c>
      <c r="F51" s="367">
        <v>0</v>
      </c>
      <c r="G51" s="367" t="s">
        <v>48</v>
      </c>
      <c r="H51" s="367">
        <v>0</v>
      </c>
      <c r="I51" s="367"/>
    </row>
    <row r="52" spans="1:9" s="109" customFormat="1" ht="24" customHeight="1" thickBot="1">
      <c r="A52" s="160" t="s">
        <v>77</v>
      </c>
      <c r="B52" s="370"/>
      <c r="C52" s="372"/>
      <c r="D52" s="368"/>
      <c r="E52" s="368"/>
      <c r="F52" s="368"/>
      <c r="G52" s="368"/>
      <c r="H52" s="368"/>
      <c r="I52" s="368"/>
    </row>
    <row r="53" spans="1:9" s="109" customFormat="1" ht="24.75" customHeight="1" thickBot="1">
      <c r="A53" s="160" t="s">
        <v>459</v>
      </c>
      <c r="B53" s="161" t="s">
        <v>267</v>
      </c>
      <c r="C53" s="112">
        <v>244</v>
      </c>
      <c r="D53" s="113">
        <f>E53+F53+G53+H53</f>
        <v>0</v>
      </c>
      <c r="E53" s="113">
        <f>'мунзад 19'!E104</f>
        <v>0</v>
      </c>
      <c r="F53" s="113">
        <v>0</v>
      </c>
      <c r="G53" s="113">
        <v>0</v>
      </c>
      <c r="H53" s="113">
        <v>0</v>
      </c>
      <c r="I53" s="113"/>
    </row>
    <row r="54" spans="1:9" s="109" customFormat="1" ht="24.75" customHeight="1" thickBot="1">
      <c r="A54" s="160" t="s">
        <v>78</v>
      </c>
      <c r="B54" s="161" t="s">
        <v>268</v>
      </c>
      <c r="C54" s="112">
        <v>244</v>
      </c>
      <c r="D54" s="113">
        <f>E54+F54+G54+H54</f>
        <v>5342775.8</v>
      </c>
      <c r="E54" s="113">
        <f>'мунзад 19'!G116+576257.75</f>
        <v>5342775.8</v>
      </c>
      <c r="F54" s="113">
        <v>0</v>
      </c>
      <c r="G54" s="113">
        <v>0</v>
      </c>
      <c r="H54" s="113">
        <v>0</v>
      </c>
      <c r="I54" s="113"/>
    </row>
    <row r="55" spans="1:9" s="109" customFormat="1" ht="24.75" customHeight="1" thickBot="1">
      <c r="A55" s="160" t="s">
        <v>79</v>
      </c>
      <c r="B55" s="161" t="s">
        <v>269</v>
      </c>
      <c r="C55" s="112">
        <v>244</v>
      </c>
      <c r="D55" s="113">
        <f>E55+F55+H55</f>
        <v>0</v>
      </c>
      <c r="E55" s="113">
        <v>0</v>
      </c>
      <c r="F55" s="113">
        <v>0</v>
      </c>
      <c r="G55" s="113" t="s">
        <v>48</v>
      </c>
      <c r="H55" s="113">
        <v>0</v>
      </c>
      <c r="I55" s="113"/>
    </row>
    <row r="56" spans="1:9" s="109" customFormat="1" ht="24.75" customHeight="1" thickBot="1">
      <c r="A56" s="160" t="s">
        <v>80</v>
      </c>
      <c r="B56" s="161" t="s">
        <v>270</v>
      </c>
      <c r="C56" s="112">
        <v>244</v>
      </c>
      <c r="D56" s="113">
        <f aca="true" t="shared" si="0" ref="D56:D61">E56+F56+G56+H56</f>
        <v>4036318.7899999996</v>
      </c>
      <c r="E56" s="113">
        <f>'мунзад 19'!E153+496337.76</f>
        <v>3817068.8899999997</v>
      </c>
      <c r="F56" s="113">
        <v>200000</v>
      </c>
      <c r="G56" s="113">
        <v>0</v>
      </c>
      <c r="H56" s="113">
        <f>'приносяш 2019'!E116+9705</f>
        <v>19249.9</v>
      </c>
      <c r="I56" s="113"/>
    </row>
    <row r="57" spans="1:9" s="109" customFormat="1" ht="24.75" customHeight="1" thickBot="1">
      <c r="A57" s="238" t="s">
        <v>81</v>
      </c>
      <c r="B57" s="280" t="s">
        <v>271</v>
      </c>
      <c r="C57" s="112">
        <v>244</v>
      </c>
      <c r="D57" s="113">
        <f t="shared" si="0"/>
        <v>964733.8800000001</v>
      </c>
      <c r="E57" s="113">
        <f>'мунзад 19'!D168</f>
        <v>957304.3500000001</v>
      </c>
      <c r="F57" s="113">
        <v>0</v>
      </c>
      <c r="G57" s="113">
        <v>0</v>
      </c>
      <c r="H57" s="113">
        <f>'приносяш 2019'!D139+4925.88</f>
        <v>7429.530000000001</v>
      </c>
      <c r="I57" s="113"/>
    </row>
    <row r="58" spans="1:9" s="109" customFormat="1" ht="24.75" customHeight="1" thickBot="1">
      <c r="A58" s="160" t="s">
        <v>82</v>
      </c>
      <c r="B58" s="262" t="s">
        <v>272</v>
      </c>
      <c r="C58" s="112">
        <v>244</v>
      </c>
      <c r="D58" s="113">
        <f t="shared" si="0"/>
        <v>90297.6</v>
      </c>
      <c r="E58" s="113">
        <f>'мунзад 19'!E177</f>
        <v>90297.6</v>
      </c>
      <c r="F58" s="113">
        <v>0</v>
      </c>
      <c r="G58" s="113">
        <v>0</v>
      </c>
      <c r="H58" s="113">
        <v>0</v>
      </c>
      <c r="I58" s="113"/>
    </row>
    <row r="59" spans="1:9" s="109" customFormat="1" ht="24.75" customHeight="1" thickBot="1">
      <c r="A59" s="160" t="s">
        <v>83</v>
      </c>
      <c r="B59" s="161" t="s">
        <v>273</v>
      </c>
      <c r="C59" s="112">
        <v>244</v>
      </c>
      <c r="D59" s="113">
        <f t="shared" si="0"/>
        <v>9391132.889999539</v>
      </c>
      <c r="E59" s="113">
        <f>'мунзад 19'!E182</f>
        <v>2042831.6</v>
      </c>
      <c r="F59" s="113">
        <f>21000+1340100+500000</f>
        <v>1861100</v>
      </c>
      <c r="G59" s="113">
        <v>0</v>
      </c>
      <c r="H59" s="113">
        <f>'приносяш 2019'!E148+'приносяш 2019'!H162+202907.38</f>
        <v>5487201.289999538</v>
      </c>
      <c r="I59" s="113"/>
    </row>
    <row r="60" spans="1:9" s="109" customFormat="1" ht="24.75" customHeight="1" thickBot="1">
      <c r="A60" s="162" t="s">
        <v>84</v>
      </c>
      <c r="B60" s="161" t="s">
        <v>274</v>
      </c>
      <c r="C60" s="112">
        <v>500</v>
      </c>
      <c r="D60" s="113">
        <f t="shared" si="0"/>
        <v>58300642.45599953</v>
      </c>
      <c r="E60" s="113">
        <f>E12</f>
        <v>49441099.99599999</v>
      </c>
      <c r="F60" s="113">
        <f>F12</f>
        <v>3563200</v>
      </c>
      <c r="G60" s="113">
        <f>G12</f>
        <v>0</v>
      </c>
      <c r="H60" s="113">
        <f>H12</f>
        <v>5296342.459999539</v>
      </c>
      <c r="I60" s="113"/>
    </row>
    <row r="61" spans="1:9" s="109" customFormat="1" ht="24.75" customHeight="1" thickBot="1">
      <c r="A61" s="162" t="s">
        <v>85</v>
      </c>
      <c r="B61" s="161" t="s">
        <v>275</v>
      </c>
      <c r="C61" s="112">
        <v>600</v>
      </c>
      <c r="D61" s="113">
        <f t="shared" si="0"/>
        <v>61118328.06599953</v>
      </c>
      <c r="E61" s="113">
        <f>E27</f>
        <v>52041203.16599999</v>
      </c>
      <c r="F61" s="113">
        <f>F27</f>
        <v>3563200</v>
      </c>
      <c r="G61" s="113">
        <f>G27</f>
        <v>0</v>
      </c>
      <c r="H61" s="113">
        <f>H27</f>
        <v>5513924.8999995375</v>
      </c>
      <c r="I61" s="113"/>
    </row>
    <row r="62" spans="1:9" s="109" customFormat="1" ht="24.75" customHeight="1" thickBot="1">
      <c r="A62" s="162" t="s">
        <v>86</v>
      </c>
      <c r="B62" s="161" t="s">
        <v>455</v>
      </c>
      <c r="C62" s="112">
        <v>600</v>
      </c>
      <c r="D62" s="113">
        <v>0</v>
      </c>
      <c r="E62" s="113">
        <v>0</v>
      </c>
      <c r="F62" s="113">
        <v>0</v>
      </c>
      <c r="G62" s="113">
        <v>0</v>
      </c>
      <c r="H62" s="113">
        <v>0</v>
      </c>
      <c r="I62" s="113"/>
    </row>
    <row r="63" spans="4:9" s="175" customFormat="1" ht="15">
      <c r="D63" s="176"/>
      <c r="E63" s="293">
        <f>E11+E12-E27</f>
        <v>0</v>
      </c>
      <c r="F63" s="293">
        <f>F11+F12-F27</f>
        <v>0</v>
      </c>
      <c r="G63" s="293">
        <f>G11+G12-G27</f>
        <v>0</v>
      </c>
      <c r="H63" s="293">
        <f>H11+H12-H27</f>
        <v>0</v>
      </c>
      <c r="I63" s="176"/>
    </row>
    <row r="64" spans="1:10" s="109" customFormat="1" ht="15">
      <c r="A64" s="109" t="s">
        <v>425</v>
      </c>
      <c r="E64" s="293">
        <f>E60-E61</f>
        <v>-2600103.170000002</v>
      </c>
      <c r="F64" s="293">
        <f>F60-F61</f>
        <v>0</v>
      </c>
      <c r="G64" s="293">
        <f>G60-G61</f>
        <v>0</v>
      </c>
      <c r="H64" s="293">
        <f>H60-H61</f>
        <v>-217582.43999999855</v>
      </c>
      <c r="J64" s="166">
        <f>J31+J33</f>
        <v>12886087.340000005</v>
      </c>
    </row>
    <row r="65" spans="1:8" s="109" customFormat="1" ht="15">
      <c r="A65" s="109" t="s">
        <v>426</v>
      </c>
      <c r="E65" s="289"/>
      <c r="F65" s="289"/>
      <c r="G65" s="289"/>
      <c r="H65" s="289"/>
    </row>
    <row r="66" spans="4:9" s="109" customFormat="1" ht="15">
      <c r="D66" s="166"/>
      <c r="E66" s="288"/>
      <c r="F66" s="288"/>
      <c r="G66" s="288"/>
      <c r="H66" s="288"/>
      <c r="I66" s="166"/>
    </row>
    <row r="67" spans="5:8" s="109" customFormat="1" ht="15">
      <c r="E67" s="166"/>
      <c r="F67" s="166"/>
      <c r="G67" s="166"/>
      <c r="H67" s="166"/>
    </row>
    <row r="68" s="109" customFormat="1" ht="15"/>
    <row r="69" s="109" customFormat="1" ht="15">
      <c r="E69" s="166"/>
    </row>
    <row r="70" ht="15">
      <c r="E70" s="95"/>
    </row>
    <row r="1206" ht="15"/>
  </sheetData>
  <sheetProtection/>
  <mergeCells count="102">
    <mergeCell ref="A6:A9"/>
    <mergeCell ref="B6:B9"/>
    <mergeCell ref="C6:C9"/>
    <mergeCell ref="D6:I6"/>
    <mergeCell ref="D7:D9"/>
    <mergeCell ref="E7:I7"/>
    <mergeCell ref="E8:E9"/>
    <mergeCell ref="F8:F9"/>
    <mergeCell ref="G8:G9"/>
    <mergeCell ref="H8:I8"/>
    <mergeCell ref="B13:B14"/>
    <mergeCell ref="C13:C14"/>
    <mergeCell ref="D13:D14"/>
    <mergeCell ref="E13:E14"/>
    <mergeCell ref="F13:F14"/>
    <mergeCell ref="G13:G14"/>
    <mergeCell ref="H13:H14"/>
    <mergeCell ref="I13:I14"/>
    <mergeCell ref="B15:B16"/>
    <mergeCell ref="C15:C16"/>
    <mergeCell ref="D15:D16"/>
    <mergeCell ref="E15:E16"/>
    <mergeCell ref="F15:F16"/>
    <mergeCell ref="G15:G16"/>
    <mergeCell ref="H15:H16"/>
    <mergeCell ref="I15:I16"/>
    <mergeCell ref="F28:F29"/>
    <mergeCell ref="G28:G29"/>
    <mergeCell ref="H28:H29"/>
    <mergeCell ref="I28:I29"/>
    <mergeCell ref="B18:B19"/>
    <mergeCell ref="C18:C19"/>
    <mergeCell ref="D18:D19"/>
    <mergeCell ref="E18:E19"/>
    <mergeCell ref="F18:F19"/>
    <mergeCell ref="G18:G19"/>
    <mergeCell ref="F21:F22"/>
    <mergeCell ref="G21:G22"/>
    <mergeCell ref="B21:B22"/>
    <mergeCell ref="C21:C22"/>
    <mergeCell ref="H18:H19"/>
    <mergeCell ref="I18:I19"/>
    <mergeCell ref="H21:H22"/>
    <mergeCell ref="I21:I22"/>
    <mergeCell ref="B28:B29"/>
    <mergeCell ref="C28:C29"/>
    <mergeCell ref="D28:D29"/>
    <mergeCell ref="E28:E29"/>
    <mergeCell ref="D21:D22"/>
    <mergeCell ref="E21:E22"/>
    <mergeCell ref="F35:F36"/>
    <mergeCell ref="G35:G36"/>
    <mergeCell ref="B30:B31"/>
    <mergeCell ref="C30:C31"/>
    <mergeCell ref="D30:D31"/>
    <mergeCell ref="E30:E31"/>
    <mergeCell ref="H30:H31"/>
    <mergeCell ref="I30:I31"/>
    <mergeCell ref="H35:H36"/>
    <mergeCell ref="I35:I36"/>
    <mergeCell ref="B35:B36"/>
    <mergeCell ref="C35:C36"/>
    <mergeCell ref="F30:F31"/>
    <mergeCell ref="G30:G31"/>
    <mergeCell ref="D35:D36"/>
    <mergeCell ref="E35:E36"/>
    <mergeCell ref="F38:F39"/>
    <mergeCell ref="G38:G39"/>
    <mergeCell ref="B44:B45"/>
    <mergeCell ref="C44:C45"/>
    <mergeCell ref="D44:D45"/>
    <mergeCell ref="E44:E45"/>
    <mergeCell ref="B38:B39"/>
    <mergeCell ref="C38:C39"/>
    <mergeCell ref="D38:D39"/>
    <mergeCell ref="E38:E39"/>
    <mergeCell ref="B51:B52"/>
    <mergeCell ref="C51:C52"/>
    <mergeCell ref="D51:D52"/>
    <mergeCell ref="E51:E52"/>
    <mergeCell ref="F51:F52"/>
    <mergeCell ref="F44:F45"/>
    <mergeCell ref="E48:E49"/>
    <mergeCell ref="F48:F49"/>
    <mergeCell ref="I38:I39"/>
    <mergeCell ref="H44:H45"/>
    <mergeCell ref="I44:I45"/>
    <mergeCell ref="H48:H49"/>
    <mergeCell ref="I48:I49"/>
    <mergeCell ref="G44:G45"/>
    <mergeCell ref="G48:G49"/>
    <mergeCell ref="H38:H39"/>
    <mergeCell ref="A13:A14"/>
    <mergeCell ref="M13:M16"/>
    <mergeCell ref="A3:I3"/>
    <mergeCell ref="A4:I4"/>
    <mergeCell ref="I51:I52"/>
    <mergeCell ref="B48:B49"/>
    <mergeCell ref="C48:C49"/>
    <mergeCell ref="G51:G52"/>
    <mergeCell ref="H51:H52"/>
    <mergeCell ref="D48:D49"/>
  </mergeCells>
  <hyperlinks>
    <hyperlink ref="A6" location="Par1206" display="Par1206"/>
    <hyperlink ref="F8" r:id="rId1" display="consultantplus://offline/ref=EC513630DD0A2F9B2EC0205798B851993A5251D08ECB4308CDDA19182ECC2154EE9666852E0BHBNDC"/>
  </hyperlink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48" r:id="rId4"/>
  <rowBreaks count="1" manualBreakCount="1">
    <brk id="39" max="8" man="1"/>
  </rowBreaks>
  <colBreaks count="1" manualBreakCount="1">
    <brk id="9" max="66" man="1"/>
  </colBreak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3:PAR1206"/>
  <sheetViews>
    <sheetView view="pageBreakPreview" zoomScale="60" zoomScaleNormal="60" zoomScalePageLayoutView="0" workbookViewId="0" topLeftCell="A55">
      <selection activeCell="H24" sqref="H24"/>
    </sheetView>
  </sheetViews>
  <sheetFormatPr defaultColWidth="28.8515625" defaultRowHeight="15"/>
  <cols>
    <col min="1" max="1" width="93.7109375" style="129" customWidth="1"/>
    <col min="2" max="2" width="9.57421875" style="129" customWidth="1"/>
    <col min="3" max="3" width="27.7109375" style="129" customWidth="1"/>
    <col min="4" max="4" width="32.140625" style="129" customWidth="1"/>
    <col min="5" max="5" width="24.8515625" style="129" customWidth="1"/>
    <col min="6" max="6" width="21.421875" style="129" customWidth="1"/>
    <col min="7" max="7" width="18.57421875" style="129" customWidth="1"/>
    <col min="8" max="8" width="22.421875" style="129" customWidth="1"/>
    <col min="9" max="9" width="22.28125" style="129" customWidth="1"/>
    <col min="10" max="10" width="22.8515625" style="129" customWidth="1"/>
    <col min="11" max="11" width="16.8515625" style="129" customWidth="1"/>
    <col min="12" max="12" width="23.8515625" style="129" customWidth="1"/>
    <col min="13" max="13" width="36.421875" style="129" customWidth="1"/>
    <col min="14" max="16384" width="28.8515625" style="129" customWidth="1"/>
  </cols>
  <sheetData>
    <row r="3" spans="1:9" ht="19.5" customHeight="1">
      <c r="A3" s="342" t="s">
        <v>88</v>
      </c>
      <c r="B3" s="342"/>
      <c r="C3" s="342"/>
      <c r="D3" s="342"/>
      <c r="E3" s="342"/>
      <c r="F3" s="342"/>
      <c r="G3" s="342"/>
      <c r="H3" s="342"/>
      <c r="I3" s="342"/>
    </row>
    <row r="4" spans="1:9" ht="18.75">
      <c r="A4" s="339" t="s">
        <v>414</v>
      </c>
      <c r="B4" s="339"/>
      <c r="C4" s="339"/>
      <c r="D4" s="339"/>
      <c r="E4" s="339"/>
      <c r="F4" s="339"/>
      <c r="G4" s="339"/>
      <c r="H4" s="339"/>
      <c r="I4" s="339"/>
    </row>
    <row r="5" ht="18" customHeight="1" thickBot="1">
      <c r="I5" s="129" t="s">
        <v>89</v>
      </c>
    </row>
    <row r="6" spans="1:9" ht="19.5" customHeight="1" thickBot="1">
      <c r="A6" s="391" t="s">
        <v>37</v>
      </c>
      <c r="B6" s="394" t="s">
        <v>38</v>
      </c>
      <c r="C6" s="394" t="s">
        <v>39</v>
      </c>
      <c r="D6" s="397" t="s">
        <v>40</v>
      </c>
      <c r="E6" s="398"/>
      <c r="F6" s="398"/>
      <c r="G6" s="398"/>
      <c r="H6" s="398"/>
      <c r="I6" s="399"/>
    </row>
    <row r="7" spans="1:9" ht="16.5" thickBot="1">
      <c r="A7" s="392"/>
      <c r="B7" s="395"/>
      <c r="C7" s="395"/>
      <c r="D7" s="394" t="s">
        <v>41</v>
      </c>
      <c r="E7" s="397" t="s">
        <v>22</v>
      </c>
      <c r="F7" s="398"/>
      <c r="G7" s="398"/>
      <c r="H7" s="398"/>
      <c r="I7" s="399"/>
    </row>
    <row r="8" spans="1:9" ht="54" customHeight="1" thickBot="1">
      <c r="A8" s="392"/>
      <c r="B8" s="395"/>
      <c r="C8" s="395"/>
      <c r="D8" s="395"/>
      <c r="E8" s="394" t="s">
        <v>42</v>
      </c>
      <c r="F8" s="400" t="s">
        <v>43</v>
      </c>
      <c r="G8" s="394" t="s">
        <v>44</v>
      </c>
      <c r="H8" s="397" t="s">
        <v>45</v>
      </c>
      <c r="I8" s="399"/>
    </row>
    <row r="9" spans="1:9" ht="32.25" customHeight="1" thickBot="1">
      <c r="A9" s="393"/>
      <c r="B9" s="396"/>
      <c r="C9" s="396"/>
      <c r="D9" s="396"/>
      <c r="E9" s="396"/>
      <c r="F9" s="401"/>
      <c r="G9" s="396"/>
      <c r="H9" s="18" t="s">
        <v>41</v>
      </c>
      <c r="I9" s="18" t="s">
        <v>46</v>
      </c>
    </row>
    <row r="10" spans="1:9" ht="19.5" thickBot="1">
      <c r="A10" s="192">
        <v>1</v>
      </c>
      <c r="B10" s="195">
        <v>2</v>
      </c>
      <c r="C10" s="195">
        <v>3</v>
      </c>
      <c r="D10" s="195">
        <v>4</v>
      </c>
      <c r="E10" s="195">
        <v>5</v>
      </c>
      <c r="F10" s="195">
        <v>6</v>
      </c>
      <c r="G10" s="195">
        <v>7</v>
      </c>
      <c r="H10" s="195">
        <v>8</v>
      </c>
      <c r="I10" s="195">
        <v>9</v>
      </c>
    </row>
    <row r="11" spans="1:15" s="56" customFormat="1" ht="27.75" customHeight="1" thickBot="1">
      <c r="A11" s="57" t="s">
        <v>47</v>
      </c>
      <c r="B11" s="58" t="s">
        <v>231</v>
      </c>
      <c r="C11" s="59" t="s">
        <v>48</v>
      </c>
      <c r="D11" s="60">
        <f>E11+F11+G11+H11</f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M11" s="56" t="s">
        <v>237</v>
      </c>
      <c r="N11" s="96" t="e">
        <f>D11+#REF!</f>
        <v>#REF!</v>
      </c>
      <c r="O11" s="96" t="e">
        <f>N11-#REF!</f>
        <v>#REF!</v>
      </c>
    </row>
    <row r="12" spans="1:9" s="56" customFormat="1" ht="27.75" customHeight="1" thickBot="1">
      <c r="A12" s="57" t="s">
        <v>49</v>
      </c>
      <c r="B12" s="58" t="s">
        <v>232</v>
      </c>
      <c r="C12" s="59" t="s">
        <v>48</v>
      </c>
      <c r="D12" s="60">
        <f>D13+D17+D20+D25+D26</f>
        <v>70011325.07000002</v>
      </c>
      <c r="E12" s="60">
        <f>E17</f>
        <v>64714982.61000002</v>
      </c>
      <c r="F12" s="60">
        <f>F25</f>
        <v>0</v>
      </c>
      <c r="G12" s="60">
        <f>G25</f>
        <v>0</v>
      </c>
      <c r="H12" s="60">
        <f>H13+H20+H26</f>
        <v>5296342.459999997</v>
      </c>
      <c r="I12" s="60">
        <v>0</v>
      </c>
    </row>
    <row r="13" spans="1:13" s="44" customFormat="1" ht="15" customHeight="1">
      <c r="A13" s="364" t="s">
        <v>238</v>
      </c>
      <c r="B13" s="387" t="s">
        <v>233</v>
      </c>
      <c r="C13" s="389">
        <v>120</v>
      </c>
      <c r="D13" s="385">
        <f>D15</f>
        <v>0</v>
      </c>
      <c r="E13" s="385" t="s">
        <v>48</v>
      </c>
      <c r="F13" s="385" t="s">
        <v>48</v>
      </c>
      <c r="G13" s="385" t="s">
        <v>48</v>
      </c>
      <c r="H13" s="385">
        <f>H15</f>
        <v>0</v>
      </c>
      <c r="I13" s="385" t="s">
        <v>48</v>
      </c>
      <c r="M13" s="366" t="s">
        <v>239</v>
      </c>
    </row>
    <row r="14" spans="1:13" s="44" customFormat="1" ht="15" customHeight="1" thickBot="1">
      <c r="A14" s="365"/>
      <c r="B14" s="388"/>
      <c r="C14" s="390"/>
      <c r="D14" s="386"/>
      <c r="E14" s="386"/>
      <c r="F14" s="386"/>
      <c r="G14" s="386"/>
      <c r="H14" s="386"/>
      <c r="I14" s="386"/>
      <c r="M14" s="366"/>
    </row>
    <row r="15" spans="1:13" ht="18.75" customHeight="1">
      <c r="A15" s="16" t="s">
        <v>4</v>
      </c>
      <c r="B15" s="381" t="s">
        <v>234</v>
      </c>
      <c r="C15" s="349">
        <v>120</v>
      </c>
      <c r="D15" s="347">
        <f>H15</f>
        <v>0</v>
      </c>
      <c r="E15" s="347" t="s">
        <v>48</v>
      </c>
      <c r="F15" s="347" t="s">
        <v>48</v>
      </c>
      <c r="G15" s="347" t="s">
        <v>48</v>
      </c>
      <c r="H15" s="347">
        <f>'приносяш 2020'!E116+'приносяш 2020'!G93</f>
        <v>0</v>
      </c>
      <c r="I15" s="347" t="s">
        <v>48</v>
      </c>
      <c r="M15" s="366"/>
    </row>
    <row r="16" spans="1:13" ht="37.5" customHeight="1" thickBot="1">
      <c r="A16" s="17" t="s">
        <v>50</v>
      </c>
      <c r="B16" s="382"/>
      <c r="C16" s="350"/>
      <c r="D16" s="348"/>
      <c r="E16" s="348"/>
      <c r="F16" s="348"/>
      <c r="G16" s="348"/>
      <c r="H16" s="348"/>
      <c r="I16" s="348"/>
      <c r="M16" s="366"/>
    </row>
    <row r="17" spans="1:14" s="49" customFormat="1" ht="26.25" customHeight="1" thickBot="1">
      <c r="A17" s="45" t="s">
        <v>51</v>
      </c>
      <c r="B17" s="46" t="s">
        <v>235</v>
      </c>
      <c r="C17" s="47">
        <v>130</v>
      </c>
      <c r="D17" s="48">
        <f>D18</f>
        <v>64714982.61000002</v>
      </c>
      <c r="E17" s="48">
        <f>E18</f>
        <v>64714982.61000002</v>
      </c>
      <c r="F17" s="48" t="s">
        <v>48</v>
      </c>
      <c r="G17" s="48" t="s">
        <v>48</v>
      </c>
      <c r="H17" s="48">
        <f>H18</f>
        <v>0</v>
      </c>
      <c r="I17" s="48">
        <f>I18</f>
        <v>0</v>
      </c>
      <c r="M17" s="49" t="s">
        <v>240</v>
      </c>
      <c r="N17" s="50">
        <f>E17-E27</f>
        <v>0</v>
      </c>
    </row>
    <row r="18" spans="1:9" ht="18.75">
      <c r="A18" s="16" t="s">
        <v>52</v>
      </c>
      <c r="B18" s="381" t="s">
        <v>236</v>
      </c>
      <c r="C18" s="349">
        <v>130</v>
      </c>
      <c r="D18" s="347">
        <f>E18+H18</f>
        <v>64714982.61000002</v>
      </c>
      <c r="E18" s="367">
        <f>E27</f>
        <v>64714982.61000002</v>
      </c>
      <c r="F18" s="347" t="s">
        <v>48</v>
      </c>
      <c r="G18" s="347" t="s">
        <v>48</v>
      </c>
      <c r="H18" s="347">
        <v>0</v>
      </c>
      <c r="I18" s="347">
        <v>0</v>
      </c>
    </row>
    <row r="19" spans="1:10" ht="37.5" customHeight="1" thickBot="1">
      <c r="A19" s="17" t="s">
        <v>53</v>
      </c>
      <c r="B19" s="382"/>
      <c r="C19" s="350"/>
      <c r="D19" s="348"/>
      <c r="E19" s="368"/>
      <c r="F19" s="348"/>
      <c r="G19" s="348"/>
      <c r="H19" s="348"/>
      <c r="I19" s="348"/>
      <c r="J19" s="95"/>
    </row>
    <row r="20" spans="1:13" s="49" customFormat="1" ht="36.75" customHeight="1" thickBot="1">
      <c r="A20" s="45" t="s">
        <v>54</v>
      </c>
      <c r="B20" s="46" t="s">
        <v>241</v>
      </c>
      <c r="C20" s="47">
        <v>130</v>
      </c>
      <c r="D20" s="48">
        <f>D21+D23+D24</f>
        <v>5296342.459999997</v>
      </c>
      <c r="E20" s="48" t="s">
        <v>48</v>
      </c>
      <c r="F20" s="48" t="s">
        <v>48</v>
      </c>
      <c r="G20" s="48" t="s">
        <v>48</v>
      </c>
      <c r="H20" s="48">
        <f>H21+H23</f>
        <v>5296342.459999997</v>
      </c>
      <c r="I20" s="48">
        <v>0</v>
      </c>
      <c r="M20" s="50">
        <f>H20+H13-H47</f>
        <v>0</v>
      </c>
    </row>
    <row r="21" spans="1:9" ht="18.75">
      <c r="A21" s="16" t="s">
        <v>22</v>
      </c>
      <c r="B21" s="381" t="s">
        <v>242</v>
      </c>
      <c r="C21" s="349">
        <v>130</v>
      </c>
      <c r="D21" s="347">
        <f>H21</f>
        <v>0</v>
      </c>
      <c r="E21" s="347" t="s">
        <v>48</v>
      </c>
      <c r="F21" s="347" t="s">
        <v>48</v>
      </c>
      <c r="G21" s="347" t="s">
        <v>48</v>
      </c>
      <c r="H21" s="383">
        <v>0</v>
      </c>
      <c r="I21" s="383">
        <v>0</v>
      </c>
    </row>
    <row r="22" spans="1:13" ht="21" customHeight="1" thickBot="1">
      <c r="A22" s="17" t="s">
        <v>55</v>
      </c>
      <c r="B22" s="382"/>
      <c r="C22" s="350"/>
      <c r="D22" s="348"/>
      <c r="E22" s="348"/>
      <c r="F22" s="348"/>
      <c r="G22" s="348"/>
      <c r="H22" s="384"/>
      <c r="I22" s="384"/>
      <c r="M22" s="129" t="s">
        <v>338</v>
      </c>
    </row>
    <row r="23" spans="1:13" ht="27.75" customHeight="1" thickBot="1">
      <c r="A23" s="17" t="s">
        <v>56</v>
      </c>
      <c r="B23" s="43" t="s">
        <v>243</v>
      </c>
      <c r="C23" s="195">
        <v>130</v>
      </c>
      <c r="D23" s="21">
        <f>H23</f>
        <v>5296342.459999997</v>
      </c>
      <c r="E23" s="21" t="s">
        <v>48</v>
      </c>
      <c r="F23" s="21" t="s">
        <v>48</v>
      </c>
      <c r="G23" s="21" t="s">
        <v>48</v>
      </c>
      <c r="H23" s="21">
        <f>H27</f>
        <v>5296342.459999997</v>
      </c>
      <c r="I23" s="21">
        <v>0</v>
      </c>
      <c r="M23" s="95"/>
    </row>
    <row r="24" spans="1:9" ht="27.75" customHeight="1" thickBot="1">
      <c r="A24" s="17" t="s">
        <v>57</v>
      </c>
      <c r="B24" s="43" t="s">
        <v>244</v>
      </c>
      <c r="C24" s="195">
        <v>140</v>
      </c>
      <c r="D24" s="21">
        <f>H24</f>
        <v>0</v>
      </c>
      <c r="E24" s="21" t="s">
        <v>48</v>
      </c>
      <c r="F24" s="21" t="s">
        <v>48</v>
      </c>
      <c r="G24" s="21" t="s">
        <v>48</v>
      </c>
      <c r="H24" s="21">
        <v>0</v>
      </c>
      <c r="I24" s="21" t="s">
        <v>48</v>
      </c>
    </row>
    <row r="25" spans="1:9" s="49" customFormat="1" ht="27.75" customHeight="1" thickBot="1">
      <c r="A25" s="45" t="s">
        <v>58</v>
      </c>
      <c r="B25" s="46" t="s">
        <v>245</v>
      </c>
      <c r="C25" s="47">
        <v>180</v>
      </c>
      <c r="D25" s="48">
        <f>F25+G25</f>
        <v>0</v>
      </c>
      <c r="E25" s="163" t="s">
        <v>48</v>
      </c>
      <c r="F25" s="163">
        <f>F30+F32+F33+F57+F59</f>
        <v>0</v>
      </c>
      <c r="G25" s="163">
        <v>0</v>
      </c>
      <c r="H25" s="48" t="s">
        <v>48</v>
      </c>
      <c r="I25" s="48" t="s">
        <v>48</v>
      </c>
    </row>
    <row r="26" spans="1:9" s="49" customFormat="1" ht="27.75" customHeight="1" thickBot="1">
      <c r="A26" s="51" t="s">
        <v>59</v>
      </c>
      <c r="B26" s="46" t="s">
        <v>247</v>
      </c>
      <c r="C26" s="47">
        <v>180</v>
      </c>
      <c r="D26" s="48">
        <f>H26</f>
        <v>0</v>
      </c>
      <c r="E26" s="48" t="s">
        <v>48</v>
      </c>
      <c r="F26" s="48" t="s">
        <v>48</v>
      </c>
      <c r="G26" s="48" t="s">
        <v>48</v>
      </c>
      <c r="H26" s="48">
        <v>0</v>
      </c>
      <c r="I26" s="48">
        <v>0</v>
      </c>
    </row>
    <row r="27" spans="1:15" s="61" customFormat="1" ht="27.75" customHeight="1" thickBot="1">
      <c r="A27" s="52" t="s">
        <v>60</v>
      </c>
      <c r="B27" s="53" t="s">
        <v>248</v>
      </c>
      <c r="C27" s="54" t="s">
        <v>48</v>
      </c>
      <c r="D27" s="55">
        <f>D28+D34+D37+D43+D47</f>
        <v>70011325.07000002</v>
      </c>
      <c r="E27" s="55">
        <f>E28+E34+E37+E43+E47</f>
        <v>64714982.61000002</v>
      </c>
      <c r="F27" s="55">
        <f>F28+F34+F37+F43+F47</f>
        <v>0</v>
      </c>
      <c r="G27" s="55">
        <f>G28+G34+G37+G43+G47</f>
        <v>0</v>
      </c>
      <c r="H27" s="55">
        <f>H28+H34+H37+H43+H47</f>
        <v>5296342.459999997</v>
      </c>
      <c r="I27" s="55"/>
      <c r="M27" s="61" t="s">
        <v>246</v>
      </c>
      <c r="N27" s="99">
        <f>57589356.83-E27</f>
        <v>-7125625.780000024</v>
      </c>
      <c r="O27" s="99" t="s">
        <v>337</v>
      </c>
    </row>
    <row r="28" spans="1:9" s="109" customFormat="1" ht="18.75">
      <c r="A28" s="164" t="s">
        <v>22</v>
      </c>
      <c r="B28" s="375" t="s">
        <v>249</v>
      </c>
      <c r="C28" s="377">
        <v>100</v>
      </c>
      <c r="D28" s="379">
        <f>D30+D32+D33</f>
        <v>51255011.27000001</v>
      </c>
      <c r="E28" s="379">
        <f>E30+E32+E33</f>
        <v>51255011.27000001</v>
      </c>
      <c r="F28" s="379">
        <f>F30+F32+F33</f>
        <v>0</v>
      </c>
      <c r="G28" s="379">
        <f>G30+G32+G33</f>
        <v>0</v>
      </c>
      <c r="H28" s="379">
        <f>H30+H32+H33</f>
        <v>0</v>
      </c>
      <c r="I28" s="379"/>
    </row>
    <row r="29" spans="1:13" s="109" customFormat="1" ht="21" customHeight="1" thickBot="1">
      <c r="A29" s="165" t="s">
        <v>61</v>
      </c>
      <c r="B29" s="376"/>
      <c r="C29" s="378"/>
      <c r="D29" s="380"/>
      <c r="E29" s="380"/>
      <c r="F29" s="380"/>
      <c r="G29" s="380"/>
      <c r="H29" s="380"/>
      <c r="I29" s="380"/>
      <c r="M29" s="166"/>
    </row>
    <row r="30" spans="1:11" s="109" customFormat="1" ht="18.75">
      <c r="A30" s="167" t="s">
        <v>4</v>
      </c>
      <c r="B30" s="369" t="s">
        <v>250</v>
      </c>
      <c r="C30" s="371">
        <v>111</v>
      </c>
      <c r="D30" s="367">
        <f>E30+F30+G30+H30</f>
        <v>39362220.64000001</v>
      </c>
      <c r="E30" s="367">
        <f>'мунзад 20'!J31</f>
        <v>39362220.64000001</v>
      </c>
      <c r="F30" s="367"/>
      <c r="G30" s="367">
        <v>0</v>
      </c>
      <c r="H30" s="367">
        <v>0</v>
      </c>
      <c r="I30" s="367"/>
      <c r="K30" s="166"/>
    </row>
    <row r="31" spans="1:10" s="109" customFormat="1" ht="16.5" customHeight="1" thickBot="1">
      <c r="A31" s="168" t="s">
        <v>62</v>
      </c>
      <c r="B31" s="370"/>
      <c r="C31" s="372"/>
      <c r="D31" s="368"/>
      <c r="E31" s="368"/>
      <c r="F31" s="368"/>
      <c r="G31" s="368"/>
      <c r="H31" s="368"/>
      <c r="I31" s="368"/>
      <c r="J31" s="296">
        <f>38848091.61-E30</f>
        <v>-514129.03000000864</v>
      </c>
    </row>
    <row r="32" spans="1:10" s="109" customFormat="1" ht="38.25" customHeight="1" thickBot="1">
      <c r="A32" s="111" t="s">
        <v>63</v>
      </c>
      <c r="B32" s="161" t="s">
        <v>251</v>
      </c>
      <c r="C32" s="112">
        <v>112</v>
      </c>
      <c r="D32" s="113">
        <f>E32+F32+G32+H32</f>
        <v>5400</v>
      </c>
      <c r="E32" s="113">
        <f>'мунзад 20'!F44</f>
        <v>5400</v>
      </c>
      <c r="F32" s="113"/>
      <c r="G32" s="113">
        <v>0</v>
      </c>
      <c r="H32" s="113">
        <v>0</v>
      </c>
      <c r="I32" s="113"/>
      <c r="J32" s="296"/>
    </row>
    <row r="33" spans="1:10" s="109" customFormat="1" ht="60.75" customHeight="1" thickBot="1">
      <c r="A33" s="111" t="s">
        <v>64</v>
      </c>
      <c r="B33" s="161" t="s">
        <v>252</v>
      </c>
      <c r="C33" s="112">
        <v>119</v>
      </c>
      <c r="D33" s="113">
        <f>E33+F33+G33+H33</f>
        <v>11887390.63</v>
      </c>
      <c r="E33" s="113">
        <f>'мунзад 20'!D57</f>
        <v>11887390.63</v>
      </c>
      <c r="F33" s="113"/>
      <c r="G33" s="113">
        <v>0</v>
      </c>
      <c r="H33" s="113">
        <v>0</v>
      </c>
      <c r="I33" s="113"/>
      <c r="J33" s="296">
        <f>11732123.66-E33</f>
        <v>-155266.97000000067</v>
      </c>
    </row>
    <row r="34" spans="1:9" s="109" customFormat="1" ht="27" customHeight="1" thickBot="1">
      <c r="A34" s="169" t="s">
        <v>65</v>
      </c>
      <c r="B34" s="170" t="s">
        <v>253</v>
      </c>
      <c r="C34" s="141">
        <v>300</v>
      </c>
      <c r="D34" s="163">
        <f>D35</f>
        <v>0</v>
      </c>
      <c r="E34" s="163">
        <f>E35</f>
        <v>0</v>
      </c>
      <c r="F34" s="163">
        <f>F35</f>
        <v>0</v>
      </c>
      <c r="G34" s="163">
        <f>G35</f>
        <v>0</v>
      </c>
      <c r="H34" s="163">
        <f>H35</f>
        <v>0</v>
      </c>
      <c r="I34" s="163"/>
    </row>
    <row r="35" spans="1:9" s="109" customFormat="1" ht="18.75">
      <c r="A35" s="171" t="s">
        <v>4</v>
      </c>
      <c r="B35" s="369" t="s">
        <v>254</v>
      </c>
      <c r="C35" s="371">
        <v>321</v>
      </c>
      <c r="D35" s="367">
        <f>E35+F35+G35+H35</f>
        <v>0</v>
      </c>
      <c r="E35" s="367">
        <v>0</v>
      </c>
      <c r="F35" s="367">
        <v>0</v>
      </c>
      <c r="G35" s="367">
        <v>0</v>
      </c>
      <c r="H35" s="367">
        <v>0</v>
      </c>
      <c r="I35" s="367"/>
    </row>
    <row r="36" spans="1:9" s="109" customFormat="1" ht="39.75" customHeight="1" thickBot="1">
      <c r="A36" s="111" t="s">
        <v>66</v>
      </c>
      <c r="B36" s="370"/>
      <c r="C36" s="372"/>
      <c r="D36" s="368"/>
      <c r="E36" s="368"/>
      <c r="F36" s="368"/>
      <c r="G36" s="368"/>
      <c r="H36" s="368"/>
      <c r="I36" s="368"/>
    </row>
    <row r="37" spans="1:9" s="109" customFormat="1" ht="27.75" customHeight="1" thickBot="1">
      <c r="A37" s="169" t="s">
        <v>67</v>
      </c>
      <c r="B37" s="170" t="s">
        <v>255</v>
      </c>
      <c r="C37" s="141">
        <v>850</v>
      </c>
      <c r="D37" s="163">
        <f>D38+D40+D41+D42</f>
        <v>2032197.000000007</v>
      </c>
      <c r="E37" s="163">
        <f>E38+E40+E41+E42</f>
        <v>2032197.000000007</v>
      </c>
      <c r="F37" s="163">
        <f>F38+F40+F41+F42</f>
        <v>0</v>
      </c>
      <c r="G37" s="163">
        <f>G40</f>
        <v>0</v>
      </c>
      <c r="H37" s="163">
        <f>H38+H40+H41+H42</f>
        <v>0</v>
      </c>
      <c r="I37" s="163"/>
    </row>
    <row r="38" spans="1:9" s="109" customFormat="1" ht="15" customHeight="1">
      <c r="A38" s="171" t="s">
        <v>4</v>
      </c>
      <c r="B38" s="369" t="s">
        <v>256</v>
      </c>
      <c r="C38" s="371">
        <v>851</v>
      </c>
      <c r="D38" s="367">
        <f>E38+F38+H38</f>
        <v>906852.0000000121</v>
      </c>
      <c r="E38" s="367">
        <f>'мунзад 20'!E78</f>
        <v>906852.0000000121</v>
      </c>
      <c r="F38" s="367">
        <v>0</v>
      </c>
      <c r="G38" s="367" t="s">
        <v>48</v>
      </c>
      <c r="H38" s="367">
        <v>0</v>
      </c>
      <c r="I38" s="367"/>
    </row>
    <row r="39" spans="1:9" s="109" customFormat="1" ht="15.75" customHeight="1" thickBot="1">
      <c r="A39" s="111" t="s">
        <v>87</v>
      </c>
      <c r="B39" s="370"/>
      <c r="C39" s="372"/>
      <c r="D39" s="368"/>
      <c r="E39" s="368"/>
      <c r="F39" s="368"/>
      <c r="G39" s="368"/>
      <c r="H39" s="368"/>
      <c r="I39" s="368"/>
    </row>
    <row r="40" spans="1:9" s="109" customFormat="1" ht="24.75" customHeight="1" thickBot="1">
      <c r="A40" s="162" t="s">
        <v>68</v>
      </c>
      <c r="B40" s="161" t="s">
        <v>257</v>
      </c>
      <c r="C40" s="112">
        <v>851</v>
      </c>
      <c r="D40" s="113">
        <f>E40+F40+G40+H40</f>
        <v>1108174.9999999949</v>
      </c>
      <c r="E40" s="113">
        <f>'мунзад 20'!E79</f>
        <v>1108174.9999999949</v>
      </c>
      <c r="F40" s="113">
        <v>0</v>
      </c>
      <c r="G40" s="113">
        <v>0</v>
      </c>
      <c r="H40" s="113">
        <v>0</v>
      </c>
      <c r="I40" s="113"/>
    </row>
    <row r="41" spans="1:9" s="109" customFormat="1" ht="24.75" customHeight="1" thickBot="1">
      <c r="A41" s="111" t="s">
        <v>69</v>
      </c>
      <c r="B41" s="161" t="s">
        <v>258</v>
      </c>
      <c r="C41" s="112">
        <v>852</v>
      </c>
      <c r="D41" s="113">
        <f>E41+F41+H41</f>
        <v>17170</v>
      </c>
      <c r="E41" s="113">
        <f>'мунзад 20'!E80</f>
        <v>17170</v>
      </c>
      <c r="F41" s="113">
        <v>0</v>
      </c>
      <c r="G41" s="113" t="s">
        <v>48</v>
      </c>
      <c r="H41" s="113">
        <v>0</v>
      </c>
      <c r="I41" s="113"/>
    </row>
    <row r="42" spans="1:9" s="109" customFormat="1" ht="22.5" customHeight="1" thickBot="1">
      <c r="A42" s="111" t="s">
        <v>70</v>
      </c>
      <c r="B42" s="161" t="s">
        <v>259</v>
      </c>
      <c r="C42" s="112">
        <v>853</v>
      </c>
      <c r="D42" s="113">
        <f>E42+F42+H42</f>
        <v>0</v>
      </c>
      <c r="E42" s="113">
        <f>'мунзад 20'!E82</f>
        <v>0</v>
      </c>
      <c r="F42" s="113">
        <v>0</v>
      </c>
      <c r="G42" s="113" t="s">
        <v>48</v>
      </c>
      <c r="H42" s="113">
        <v>0</v>
      </c>
      <c r="I42" s="113"/>
    </row>
    <row r="43" spans="1:9" s="172" customFormat="1" ht="37.5" customHeight="1" thickBot="1">
      <c r="A43" s="169" t="s">
        <v>71</v>
      </c>
      <c r="B43" s="170" t="s">
        <v>260</v>
      </c>
      <c r="C43" s="141">
        <v>400</v>
      </c>
      <c r="D43" s="163">
        <f>D44+D46</f>
        <v>0</v>
      </c>
      <c r="E43" s="163">
        <f>E44+E46</f>
        <v>0</v>
      </c>
      <c r="F43" s="163">
        <f>F44+F46</f>
        <v>0</v>
      </c>
      <c r="G43" s="163">
        <f>G44+G46</f>
        <v>0</v>
      </c>
      <c r="H43" s="163">
        <f>H44+H46</f>
        <v>0</v>
      </c>
      <c r="I43" s="163"/>
    </row>
    <row r="44" spans="1:9" s="109" customFormat="1" ht="18.75">
      <c r="A44" s="167" t="s">
        <v>4</v>
      </c>
      <c r="B44" s="369" t="s">
        <v>261</v>
      </c>
      <c r="C44" s="371">
        <v>416</v>
      </c>
      <c r="D44" s="367">
        <f>E44+F44+G44+H44</f>
        <v>0</v>
      </c>
      <c r="E44" s="367">
        <v>0</v>
      </c>
      <c r="F44" s="367">
        <v>0</v>
      </c>
      <c r="G44" s="367">
        <v>0</v>
      </c>
      <c r="H44" s="367">
        <v>0</v>
      </c>
      <c r="I44" s="367"/>
    </row>
    <row r="45" spans="1:9" s="109" customFormat="1" ht="39" customHeight="1" thickBot="1">
      <c r="A45" s="162" t="s">
        <v>72</v>
      </c>
      <c r="B45" s="370"/>
      <c r="C45" s="372"/>
      <c r="D45" s="368"/>
      <c r="E45" s="368"/>
      <c r="F45" s="368"/>
      <c r="G45" s="368"/>
      <c r="H45" s="368"/>
      <c r="I45" s="368"/>
    </row>
    <row r="46" spans="1:9" s="109" customFormat="1" ht="44.25" customHeight="1" thickBot="1">
      <c r="A46" s="162" t="s">
        <v>73</v>
      </c>
      <c r="B46" s="161" t="s">
        <v>262</v>
      </c>
      <c r="C46" s="112">
        <v>417</v>
      </c>
      <c r="D46" s="113">
        <f>E46+F46+G46+H46</f>
        <v>0</v>
      </c>
      <c r="E46" s="113">
        <v>0</v>
      </c>
      <c r="F46" s="113">
        <v>0</v>
      </c>
      <c r="G46" s="113">
        <v>0</v>
      </c>
      <c r="H46" s="113">
        <v>0</v>
      </c>
      <c r="I46" s="113"/>
    </row>
    <row r="47" spans="1:14" s="172" customFormat="1" ht="27" customHeight="1" thickBot="1">
      <c r="A47" s="300" t="s">
        <v>74</v>
      </c>
      <c r="B47" s="301" t="s">
        <v>263</v>
      </c>
      <c r="C47" s="302">
        <v>200</v>
      </c>
      <c r="D47" s="303">
        <f>D48+D50</f>
        <v>16724116.799999999</v>
      </c>
      <c r="E47" s="303">
        <f>E48+E50</f>
        <v>11427774.340000002</v>
      </c>
      <c r="F47" s="303">
        <f>F48+F50</f>
        <v>0</v>
      </c>
      <c r="G47" s="303">
        <f>G48+G50</f>
        <v>0</v>
      </c>
      <c r="H47" s="303">
        <f>H48+H50</f>
        <v>5296342.459999997</v>
      </c>
      <c r="I47" s="303"/>
      <c r="K47" s="173"/>
      <c r="M47" s="173"/>
      <c r="N47" s="173"/>
    </row>
    <row r="48" spans="1:14" s="109" customFormat="1" ht="18.75">
      <c r="A48" s="167" t="s">
        <v>4</v>
      </c>
      <c r="B48" s="369" t="s">
        <v>264</v>
      </c>
      <c r="C48" s="371">
        <v>243</v>
      </c>
      <c r="D48" s="367">
        <f>E48+F48+G48+H48</f>
        <v>0</v>
      </c>
      <c r="E48" s="367">
        <v>0</v>
      </c>
      <c r="F48" s="367">
        <v>0</v>
      </c>
      <c r="G48" s="367">
        <v>0</v>
      </c>
      <c r="H48" s="367">
        <v>0</v>
      </c>
      <c r="I48" s="367"/>
      <c r="N48" s="166"/>
    </row>
    <row r="49" spans="1:9" s="109" customFormat="1" ht="36" customHeight="1" thickBot="1">
      <c r="A49" s="168" t="s">
        <v>75</v>
      </c>
      <c r="B49" s="370"/>
      <c r="C49" s="372"/>
      <c r="D49" s="368"/>
      <c r="E49" s="368"/>
      <c r="F49" s="368"/>
      <c r="G49" s="368"/>
      <c r="H49" s="368"/>
      <c r="I49" s="368"/>
    </row>
    <row r="50" spans="1:11" s="109" customFormat="1" ht="33" customHeight="1" thickBot="1">
      <c r="A50" s="194" t="s">
        <v>76</v>
      </c>
      <c r="B50" s="193" t="s">
        <v>265</v>
      </c>
      <c r="C50" s="112">
        <v>244</v>
      </c>
      <c r="D50" s="113">
        <f>D54+D55+D56+D57+D58+D59+D51+D53</f>
        <v>16724116.799999999</v>
      </c>
      <c r="E50" s="113">
        <f>E54+E55+E56+E57+E58+E59+E51+E53</f>
        <v>11427774.340000002</v>
      </c>
      <c r="F50" s="113">
        <f>F54+F55+F56+F57+F58+F59</f>
        <v>0</v>
      </c>
      <c r="G50" s="113">
        <f>G54+G56+G57+G58+G59</f>
        <v>0</v>
      </c>
      <c r="H50" s="113">
        <f>H54+H55+H56+H57+H58+H59</f>
        <v>5296342.459999997</v>
      </c>
      <c r="I50" s="113"/>
      <c r="K50" s="166"/>
    </row>
    <row r="51" spans="1:9" s="109" customFormat="1" ht="18.75">
      <c r="A51" s="174" t="s">
        <v>4</v>
      </c>
      <c r="B51" s="369" t="s">
        <v>266</v>
      </c>
      <c r="C51" s="371">
        <v>244</v>
      </c>
      <c r="D51" s="367">
        <f>E51+F51+H51</f>
        <v>72000</v>
      </c>
      <c r="E51" s="367">
        <f>'мунзад 20'!F96</f>
        <v>72000</v>
      </c>
      <c r="F51" s="367">
        <v>0</v>
      </c>
      <c r="G51" s="367" t="s">
        <v>48</v>
      </c>
      <c r="H51" s="367">
        <v>0</v>
      </c>
      <c r="I51" s="367"/>
    </row>
    <row r="52" spans="1:9" s="109" customFormat="1" ht="17.25" customHeight="1" thickBot="1">
      <c r="A52" s="160" t="s">
        <v>77</v>
      </c>
      <c r="B52" s="370"/>
      <c r="C52" s="372"/>
      <c r="D52" s="368"/>
      <c r="E52" s="368"/>
      <c r="F52" s="368"/>
      <c r="G52" s="368"/>
      <c r="H52" s="368"/>
      <c r="I52" s="368"/>
    </row>
    <row r="53" spans="1:9" s="109" customFormat="1" ht="24.75" customHeight="1" thickBot="1">
      <c r="A53" s="160" t="s">
        <v>459</v>
      </c>
      <c r="B53" s="161" t="s">
        <v>267</v>
      </c>
      <c r="C53" s="112">
        <v>244</v>
      </c>
      <c r="D53" s="113">
        <f>E53+F53+G53+H53</f>
        <v>760000</v>
      </c>
      <c r="E53" s="113">
        <f>'мунзад 20'!E103</f>
        <v>760000</v>
      </c>
      <c r="F53" s="113">
        <v>0</v>
      </c>
      <c r="G53" s="113">
        <v>0</v>
      </c>
      <c r="H53" s="113">
        <v>0</v>
      </c>
      <c r="I53" s="113"/>
    </row>
    <row r="54" spans="1:10" s="109" customFormat="1" ht="24.75" customHeight="1" thickBot="1">
      <c r="A54" s="160" t="s">
        <v>78</v>
      </c>
      <c r="B54" s="161" t="s">
        <v>267</v>
      </c>
      <c r="C54" s="112">
        <v>244</v>
      </c>
      <c r="D54" s="113">
        <f>E54+F54+G54+H54</f>
        <v>4957409.66</v>
      </c>
      <c r="E54" s="113">
        <f>'мунзад 20'!G115</f>
        <v>4957409.66</v>
      </c>
      <c r="F54" s="113">
        <v>0</v>
      </c>
      <c r="G54" s="113">
        <v>0</v>
      </c>
      <c r="H54" s="113">
        <f>'приносяш 2020'!G93</f>
        <v>0</v>
      </c>
      <c r="I54" s="113"/>
      <c r="J54" s="166"/>
    </row>
    <row r="55" spans="1:9" s="109" customFormat="1" ht="24.75" customHeight="1" thickBot="1">
      <c r="A55" s="160" t="s">
        <v>79</v>
      </c>
      <c r="B55" s="161" t="s">
        <v>268</v>
      </c>
      <c r="C55" s="112">
        <v>244</v>
      </c>
      <c r="D55" s="113">
        <f>E55+F55+H55</f>
        <v>0</v>
      </c>
      <c r="E55" s="113">
        <v>0</v>
      </c>
      <c r="F55" s="113">
        <v>0</v>
      </c>
      <c r="G55" s="113" t="s">
        <v>48</v>
      </c>
      <c r="H55" s="113">
        <v>0</v>
      </c>
      <c r="I55" s="113"/>
    </row>
    <row r="56" spans="1:9" s="109" customFormat="1" ht="24.75" customHeight="1" thickBot="1">
      <c r="A56" s="160" t="s">
        <v>80</v>
      </c>
      <c r="B56" s="161" t="s">
        <v>269</v>
      </c>
      <c r="C56" s="112">
        <v>244</v>
      </c>
      <c r="D56" s="113">
        <f aca="true" t="shared" si="0" ref="D56:D61">E56+F56+G56+H56</f>
        <v>2605063.12</v>
      </c>
      <c r="E56" s="113">
        <f>'мунзад 20'!E151</f>
        <v>2605063.12</v>
      </c>
      <c r="F56" s="113">
        <v>0</v>
      </c>
      <c r="G56" s="113">
        <v>0</v>
      </c>
      <c r="H56" s="113">
        <f>'приносяш 2020'!E116</f>
        <v>0</v>
      </c>
      <c r="I56" s="113"/>
    </row>
    <row r="57" spans="1:9" s="109" customFormat="1" ht="24.75" customHeight="1" thickBot="1">
      <c r="A57" s="190" t="s">
        <v>81</v>
      </c>
      <c r="B57" s="193" t="s">
        <v>270</v>
      </c>
      <c r="C57" s="112">
        <v>244</v>
      </c>
      <c r="D57" s="113">
        <f t="shared" si="0"/>
        <v>1066000</v>
      </c>
      <c r="E57" s="113">
        <f>'мунзад 20'!D165</f>
        <v>1066000</v>
      </c>
      <c r="F57" s="113">
        <v>0</v>
      </c>
      <c r="G57" s="113">
        <v>0</v>
      </c>
      <c r="H57" s="113">
        <v>0</v>
      </c>
      <c r="I57" s="113"/>
    </row>
    <row r="58" spans="1:9" s="109" customFormat="1" ht="24.75" customHeight="1" thickBot="1">
      <c r="A58" s="263" t="s">
        <v>82</v>
      </c>
      <c r="B58" s="161" t="s">
        <v>271</v>
      </c>
      <c r="C58" s="112">
        <v>244</v>
      </c>
      <c r="D58" s="113">
        <f t="shared" si="0"/>
        <v>250000</v>
      </c>
      <c r="E58" s="113">
        <f>'мунзад 20'!E174</f>
        <v>250000</v>
      </c>
      <c r="F58" s="113">
        <v>0</v>
      </c>
      <c r="G58" s="113">
        <v>0</v>
      </c>
      <c r="H58" s="113">
        <v>0</v>
      </c>
      <c r="I58" s="113"/>
    </row>
    <row r="59" spans="1:9" s="109" customFormat="1" ht="24.75" customHeight="1" thickBot="1">
      <c r="A59" s="160" t="s">
        <v>83</v>
      </c>
      <c r="B59" s="161" t="s">
        <v>272</v>
      </c>
      <c r="C59" s="112">
        <v>244</v>
      </c>
      <c r="D59" s="113">
        <f>E59+F59+G59+H59</f>
        <v>7013644.019999998</v>
      </c>
      <c r="E59" s="113">
        <f>'мунзад 20'!E179</f>
        <v>1717301.56</v>
      </c>
      <c r="F59" s="113"/>
      <c r="G59" s="113">
        <v>0</v>
      </c>
      <c r="H59" s="113">
        <f>'приносяш 2020'!H161+'приносяш 2020'!E147</f>
        <v>5296342.459999997</v>
      </c>
      <c r="I59" s="113"/>
    </row>
    <row r="60" spans="1:9" s="109" customFormat="1" ht="24.75" customHeight="1" thickBot="1">
      <c r="A60" s="162" t="s">
        <v>84</v>
      </c>
      <c r="B60" s="161" t="s">
        <v>273</v>
      </c>
      <c r="C60" s="112">
        <v>500</v>
      </c>
      <c r="D60" s="113">
        <f t="shared" si="0"/>
        <v>70011325.07000002</v>
      </c>
      <c r="E60" s="113">
        <f>E12</f>
        <v>64714982.61000002</v>
      </c>
      <c r="F60" s="113">
        <f>F12</f>
        <v>0</v>
      </c>
      <c r="G60" s="113">
        <f>G12</f>
        <v>0</v>
      </c>
      <c r="H60" s="113">
        <f>H12</f>
        <v>5296342.459999997</v>
      </c>
      <c r="I60" s="113"/>
    </row>
    <row r="61" spans="1:9" s="109" customFormat="1" ht="24.75" customHeight="1" thickBot="1">
      <c r="A61" s="162" t="s">
        <v>85</v>
      </c>
      <c r="B61" s="161" t="s">
        <v>274</v>
      </c>
      <c r="C61" s="112">
        <v>600</v>
      </c>
      <c r="D61" s="113">
        <f t="shared" si="0"/>
        <v>70011325.07000002</v>
      </c>
      <c r="E61" s="113">
        <f>E27</f>
        <v>64714982.61000002</v>
      </c>
      <c r="F61" s="113">
        <f>F27</f>
        <v>0</v>
      </c>
      <c r="G61" s="113">
        <f>G27</f>
        <v>0</v>
      </c>
      <c r="H61" s="113">
        <f>H27</f>
        <v>5296342.459999997</v>
      </c>
      <c r="I61" s="113"/>
    </row>
    <row r="62" spans="1:9" s="109" customFormat="1" ht="24.75" customHeight="1" thickBot="1">
      <c r="A62" s="162" t="s">
        <v>86</v>
      </c>
      <c r="B62" s="161" t="s">
        <v>275</v>
      </c>
      <c r="C62" s="112">
        <v>600</v>
      </c>
      <c r="D62" s="113"/>
      <c r="E62" s="113"/>
      <c r="F62" s="113"/>
      <c r="G62" s="113"/>
      <c r="H62" s="113"/>
      <c r="I62" s="113"/>
    </row>
    <row r="63" spans="4:9" s="175" customFormat="1" ht="15">
      <c r="D63" s="176"/>
      <c r="E63" s="176"/>
      <c r="F63" s="176"/>
      <c r="G63" s="176"/>
      <c r="H63" s="176"/>
      <c r="I63" s="176">
        <f>I12-I27+I11</f>
        <v>0</v>
      </c>
    </row>
    <row r="64" spans="5:10" s="109" customFormat="1" ht="15">
      <c r="E64" s="296">
        <f>E11+E12-E27</f>
        <v>0</v>
      </c>
      <c r="F64" s="296">
        <f>F11+F12-F27</f>
        <v>0</v>
      </c>
      <c r="G64" s="296">
        <f>G11+G12-G27</f>
        <v>0</v>
      </c>
      <c r="H64" s="296">
        <f>H11+H12-H27</f>
        <v>0</v>
      </c>
      <c r="J64" s="296"/>
    </row>
    <row r="65" spans="5:8" s="109" customFormat="1" ht="15">
      <c r="E65" s="296">
        <f>E60-E61</f>
        <v>0</v>
      </c>
      <c r="F65" s="296">
        <f>F60-F61</f>
        <v>0</v>
      </c>
      <c r="G65" s="296">
        <f>G60-G61</f>
        <v>0</v>
      </c>
      <c r="H65" s="296">
        <f>H60-H61</f>
        <v>0</v>
      </c>
    </row>
    <row r="66" spans="4:9" s="109" customFormat="1" ht="15">
      <c r="D66" s="166"/>
      <c r="E66" s="166"/>
      <c r="F66" s="166"/>
      <c r="G66" s="166"/>
      <c r="H66" s="166"/>
      <c r="I66" s="166"/>
    </row>
    <row r="67" s="109" customFormat="1" ht="15"/>
    <row r="68" spans="5:8" s="109" customFormat="1" ht="15">
      <c r="E68" s="166"/>
      <c r="F68" s="166"/>
      <c r="G68" s="166"/>
      <c r="H68" s="166"/>
    </row>
    <row r="69" spans="5:8" s="109" customFormat="1" ht="15">
      <c r="E69" s="166"/>
      <c r="F69" s="166"/>
      <c r="G69" s="166"/>
      <c r="H69" s="166"/>
    </row>
    <row r="70" ht="15">
      <c r="E70" s="95"/>
    </row>
    <row r="1206" ht="15"/>
  </sheetData>
  <sheetProtection/>
  <mergeCells count="102">
    <mergeCell ref="A3:I3"/>
    <mergeCell ref="A4:I4"/>
    <mergeCell ref="A6:A9"/>
    <mergeCell ref="B6:B9"/>
    <mergeCell ref="C6:C9"/>
    <mergeCell ref="D6:I6"/>
    <mergeCell ref="D7:D9"/>
    <mergeCell ref="E7:I7"/>
    <mergeCell ref="E8:E9"/>
    <mergeCell ref="F8:F9"/>
    <mergeCell ref="G8:G9"/>
    <mergeCell ref="H8:I8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M13:M16"/>
    <mergeCell ref="B15:B16"/>
    <mergeCell ref="C15:C16"/>
    <mergeCell ref="D15:D16"/>
    <mergeCell ref="E15:E16"/>
    <mergeCell ref="F15:F16"/>
    <mergeCell ref="G15:G16"/>
    <mergeCell ref="H15:H16"/>
    <mergeCell ref="I15:I16"/>
    <mergeCell ref="B18:B19"/>
    <mergeCell ref="C18:C19"/>
    <mergeCell ref="D18:D19"/>
    <mergeCell ref="E18:E19"/>
    <mergeCell ref="F18:F19"/>
    <mergeCell ref="G18:G19"/>
    <mergeCell ref="H18:H19"/>
    <mergeCell ref="I18:I19"/>
    <mergeCell ref="B21:B22"/>
    <mergeCell ref="C21:C22"/>
    <mergeCell ref="D21:D22"/>
    <mergeCell ref="E21:E22"/>
    <mergeCell ref="F21:F22"/>
    <mergeCell ref="G21:G22"/>
    <mergeCell ref="H21:H22"/>
    <mergeCell ref="I21:I22"/>
    <mergeCell ref="B28:B29"/>
    <mergeCell ref="C28:C29"/>
    <mergeCell ref="D28:D29"/>
    <mergeCell ref="E28:E29"/>
    <mergeCell ref="F28:F29"/>
    <mergeCell ref="G28:G29"/>
    <mergeCell ref="H28:H29"/>
    <mergeCell ref="I28:I29"/>
    <mergeCell ref="B30:B31"/>
    <mergeCell ref="C30:C31"/>
    <mergeCell ref="D30:D31"/>
    <mergeCell ref="E30:E31"/>
    <mergeCell ref="F30:F31"/>
    <mergeCell ref="G30:G31"/>
    <mergeCell ref="H30:H31"/>
    <mergeCell ref="I30:I31"/>
    <mergeCell ref="B35:B36"/>
    <mergeCell ref="C35:C36"/>
    <mergeCell ref="D35:D36"/>
    <mergeCell ref="E35:E36"/>
    <mergeCell ref="F35:F36"/>
    <mergeCell ref="G35:G36"/>
    <mergeCell ref="H35:H36"/>
    <mergeCell ref="I35:I36"/>
    <mergeCell ref="B38:B39"/>
    <mergeCell ref="C38:C39"/>
    <mergeCell ref="D38:D39"/>
    <mergeCell ref="E38:E39"/>
    <mergeCell ref="F38:F39"/>
    <mergeCell ref="G38:G39"/>
    <mergeCell ref="H38:H39"/>
    <mergeCell ref="I38:I39"/>
    <mergeCell ref="B44:B45"/>
    <mergeCell ref="C44:C45"/>
    <mergeCell ref="D44:D45"/>
    <mergeCell ref="E44:E45"/>
    <mergeCell ref="F44:F45"/>
    <mergeCell ref="G44:G45"/>
    <mergeCell ref="H44:H45"/>
    <mergeCell ref="I44:I45"/>
    <mergeCell ref="B48:B49"/>
    <mergeCell ref="C48:C49"/>
    <mergeCell ref="D48:D49"/>
    <mergeCell ref="E48:E49"/>
    <mergeCell ref="F48:F49"/>
    <mergeCell ref="G48:G49"/>
    <mergeCell ref="H48:H49"/>
    <mergeCell ref="I48:I49"/>
    <mergeCell ref="H51:H52"/>
    <mergeCell ref="I51:I52"/>
    <mergeCell ref="B51:B52"/>
    <mergeCell ref="C51:C52"/>
    <mergeCell ref="D51:D52"/>
    <mergeCell ref="E51:E52"/>
    <mergeCell ref="F51:F52"/>
    <mergeCell ref="G51:G52"/>
  </mergeCells>
  <hyperlinks>
    <hyperlink ref="A6" location="Par1206" display="Par1206"/>
    <hyperlink ref="F8" r:id="rId1" display="consultantplus://offline/ref=EC513630DD0A2F9B2EC0205798B851993A5251D08ECB4308CDDA19182ECC2154EE9666852E0BHBNDC"/>
  </hyperlink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48" r:id="rId2"/>
  <rowBreaks count="1" manualBreakCount="1">
    <brk id="39" max="8" man="1"/>
  </rowBreaks>
  <colBreaks count="1" manualBreakCount="1">
    <brk id="9" max="6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3:PAR1206"/>
  <sheetViews>
    <sheetView view="pageBreakPreview" zoomScale="60" zoomScaleNormal="55" zoomScalePageLayoutView="0" workbookViewId="0" topLeftCell="A37">
      <selection activeCell="D15" sqref="D15:D16"/>
    </sheetView>
  </sheetViews>
  <sheetFormatPr defaultColWidth="28.8515625" defaultRowHeight="15"/>
  <cols>
    <col min="1" max="1" width="93.7109375" style="129" customWidth="1"/>
    <col min="2" max="2" width="9.57421875" style="129" customWidth="1"/>
    <col min="3" max="3" width="27.7109375" style="129" customWidth="1"/>
    <col min="4" max="4" width="32.140625" style="129" customWidth="1"/>
    <col min="5" max="5" width="24.8515625" style="129" customWidth="1"/>
    <col min="6" max="6" width="21.421875" style="129" customWidth="1"/>
    <col min="7" max="7" width="18.57421875" style="129" customWidth="1"/>
    <col min="8" max="8" width="22.421875" style="129" customWidth="1"/>
    <col min="9" max="9" width="22.28125" style="129" customWidth="1"/>
    <col min="10" max="10" width="22.140625" style="129" customWidth="1"/>
    <col min="11" max="11" width="16.8515625" style="129" customWidth="1"/>
    <col min="12" max="12" width="23.8515625" style="129" customWidth="1"/>
    <col min="13" max="13" width="36.421875" style="129" customWidth="1"/>
    <col min="14" max="16384" width="28.8515625" style="129" customWidth="1"/>
  </cols>
  <sheetData>
    <row r="3" spans="1:9" ht="19.5" customHeight="1">
      <c r="A3" s="342" t="s">
        <v>88</v>
      </c>
      <c r="B3" s="342"/>
      <c r="C3" s="342"/>
      <c r="D3" s="342"/>
      <c r="E3" s="342"/>
      <c r="F3" s="342"/>
      <c r="G3" s="342"/>
      <c r="H3" s="342"/>
      <c r="I3" s="342"/>
    </row>
    <row r="4" spans="1:9" ht="18.75">
      <c r="A4" s="339" t="s">
        <v>445</v>
      </c>
      <c r="B4" s="339"/>
      <c r="C4" s="339"/>
      <c r="D4" s="339"/>
      <c r="E4" s="339"/>
      <c r="F4" s="339"/>
      <c r="G4" s="339"/>
      <c r="H4" s="339"/>
      <c r="I4" s="339"/>
    </row>
    <row r="5" ht="18" customHeight="1" thickBot="1">
      <c r="I5" s="129" t="s">
        <v>89</v>
      </c>
    </row>
    <row r="6" spans="1:9" ht="19.5" customHeight="1" thickBot="1">
      <c r="A6" s="391" t="s">
        <v>37</v>
      </c>
      <c r="B6" s="394" t="s">
        <v>38</v>
      </c>
      <c r="C6" s="394" t="s">
        <v>39</v>
      </c>
      <c r="D6" s="397" t="s">
        <v>40</v>
      </c>
      <c r="E6" s="398"/>
      <c r="F6" s="398"/>
      <c r="G6" s="398"/>
      <c r="H6" s="398"/>
      <c r="I6" s="399"/>
    </row>
    <row r="7" spans="1:9" ht="16.5" thickBot="1">
      <c r="A7" s="392"/>
      <c r="B7" s="395"/>
      <c r="C7" s="395"/>
      <c r="D7" s="394" t="s">
        <v>41</v>
      </c>
      <c r="E7" s="397" t="s">
        <v>22</v>
      </c>
      <c r="F7" s="398"/>
      <c r="G7" s="398"/>
      <c r="H7" s="398"/>
      <c r="I7" s="399"/>
    </row>
    <row r="8" spans="1:9" ht="54" customHeight="1" thickBot="1">
      <c r="A8" s="392"/>
      <c r="B8" s="395"/>
      <c r="C8" s="395"/>
      <c r="D8" s="395"/>
      <c r="E8" s="394" t="s">
        <v>42</v>
      </c>
      <c r="F8" s="400" t="s">
        <v>43</v>
      </c>
      <c r="G8" s="394" t="s">
        <v>44</v>
      </c>
      <c r="H8" s="397" t="s">
        <v>45</v>
      </c>
      <c r="I8" s="399"/>
    </row>
    <row r="9" spans="1:9" ht="32.25" customHeight="1" thickBot="1">
      <c r="A9" s="393"/>
      <c r="B9" s="396"/>
      <c r="C9" s="396"/>
      <c r="D9" s="396"/>
      <c r="E9" s="396"/>
      <c r="F9" s="401"/>
      <c r="G9" s="396"/>
      <c r="H9" s="18" t="s">
        <v>41</v>
      </c>
      <c r="I9" s="18" t="s">
        <v>46</v>
      </c>
    </row>
    <row r="10" spans="1:9" ht="19.5" thickBot="1">
      <c r="A10" s="192">
        <v>1</v>
      </c>
      <c r="B10" s="195">
        <v>2</v>
      </c>
      <c r="C10" s="195">
        <v>3</v>
      </c>
      <c r="D10" s="195">
        <v>4</v>
      </c>
      <c r="E10" s="195">
        <v>5</v>
      </c>
      <c r="F10" s="195">
        <v>6</v>
      </c>
      <c r="G10" s="195">
        <v>7</v>
      </c>
      <c r="H10" s="195">
        <v>8</v>
      </c>
      <c r="I10" s="195">
        <v>9</v>
      </c>
    </row>
    <row r="11" spans="1:15" s="56" customFormat="1" ht="27.75" customHeight="1" thickBot="1">
      <c r="A11" s="57" t="s">
        <v>47</v>
      </c>
      <c r="B11" s="58" t="s">
        <v>231</v>
      </c>
      <c r="C11" s="59" t="s">
        <v>48</v>
      </c>
      <c r="D11" s="60">
        <f>E11+F11+G11+H11</f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M11" s="56" t="s">
        <v>237</v>
      </c>
      <c r="N11" s="96" t="e">
        <f>D11+#REF!</f>
        <v>#REF!</v>
      </c>
      <c r="O11" s="96" t="e">
        <f>N11-#REF!</f>
        <v>#REF!</v>
      </c>
    </row>
    <row r="12" spans="1:9" s="56" customFormat="1" ht="27.75" customHeight="1" thickBot="1">
      <c r="A12" s="57" t="s">
        <v>49</v>
      </c>
      <c r="B12" s="58" t="s">
        <v>232</v>
      </c>
      <c r="C12" s="59" t="s">
        <v>48</v>
      </c>
      <c r="D12" s="60">
        <f>D13+D17+D20+D25+D26</f>
        <v>70209961.66000001</v>
      </c>
      <c r="E12" s="60">
        <f>E17</f>
        <v>64913619.20000002</v>
      </c>
      <c r="F12" s="60">
        <f>F25</f>
        <v>0</v>
      </c>
      <c r="G12" s="60">
        <f>G25</f>
        <v>0</v>
      </c>
      <c r="H12" s="60">
        <f>H13+H20+H26</f>
        <v>5296342.459999997</v>
      </c>
      <c r="I12" s="60">
        <v>0</v>
      </c>
    </row>
    <row r="13" spans="1:13" s="44" customFormat="1" ht="15" customHeight="1">
      <c r="A13" s="364" t="s">
        <v>238</v>
      </c>
      <c r="B13" s="387" t="s">
        <v>233</v>
      </c>
      <c r="C13" s="389">
        <v>120</v>
      </c>
      <c r="D13" s="385">
        <f>D15</f>
        <v>0</v>
      </c>
      <c r="E13" s="385" t="s">
        <v>48</v>
      </c>
      <c r="F13" s="385" t="s">
        <v>48</v>
      </c>
      <c r="G13" s="385" t="s">
        <v>48</v>
      </c>
      <c r="H13" s="385">
        <f>H15</f>
        <v>0</v>
      </c>
      <c r="I13" s="385" t="s">
        <v>48</v>
      </c>
      <c r="M13" s="366" t="s">
        <v>239</v>
      </c>
    </row>
    <row r="14" spans="1:13" s="44" customFormat="1" ht="15" customHeight="1" thickBot="1">
      <c r="A14" s="365"/>
      <c r="B14" s="388"/>
      <c r="C14" s="390"/>
      <c r="D14" s="386"/>
      <c r="E14" s="386"/>
      <c r="F14" s="386"/>
      <c r="G14" s="386"/>
      <c r="H14" s="386"/>
      <c r="I14" s="386"/>
      <c r="M14" s="366"/>
    </row>
    <row r="15" spans="1:13" ht="18.75" customHeight="1">
      <c r="A15" s="16" t="s">
        <v>4</v>
      </c>
      <c r="B15" s="381" t="s">
        <v>234</v>
      </c>
      <c r="C15" s="349">
        <v>120</v>
      </c>
      <c r="D15" s="347">
        <f>H15</f>
        <v>0</v>
      </c>
      <c r="E15" s="347" t="s">
        <v>48</v>
      </c>
      <c r="F15" s="347" t="s">
        <v>48</v>
      </c>
      <c r="G15" s="347" t="s">
        <v>48</v>
      </c>
      <c r="H15" s="347">
        <f>'приносяш 2021'!G93+'приносяш 2021'!E116</f>
        <v>0</v>
      </c>
      <c r="I15" s="347" t="s">
        <v>48</v>
      </c>
      <c r="M15" s="366"/>
    </row>
    <row r="16" spans="1:13" ht="37.5" customHeight="1" thickBot="1">
      <c r="A16" s="17" t="s">
        <v>50</v>
      </c>
      <c r="B16" s="382"/>
      <c r="C16" s="350"/>
      <c r="D16" s="348"/>
      <c r="E16" s="348"/>
      <c r="F16" s="348"/>
      <c r="G16" s="348"/>
      <c r="H16" s="348"/>
      <c r="I16" s="348"/>
      <c r="M16" s="366"/>
    </row>
    <row r="17" spans="1:14" s="49" customFormat="1" ht="26.25" customHeight="1" thickBot="1">
      <c r="A17" s="45" t="s">
        <v>51</v>
      </c>
      <c r="B17" s="46" t="s">
        <v>235</v>
      </c>
      <c r="C17" s="47">
        <v>130</v>
      </c>
      <c r="D17" s="48">
        <f>D18</f>
        <v>64913619.20000002</v>
      </c>
      <c r="E17" s="48">
        <f>E18</f>
        <v>64913619.20000002</v>
      </c>
      <c r="F17" s="48" t="s">
        <v>48</v>
      </c>
      <c r="G17" s="48" t="s">
        <v>48</v>
      </c>
      <c r="H17" s="48">
        <f>H18</f>
        <v>0</v>
      </c>
      <c r="I17" s="48">
        <f>I18</f>
        <v>0</v>
      </c>
      <c r="M17" s="49" t="s">
        <v>240</v>
      </c>
      <c r="N17" s="50">
        <f>E17-E27</f>
        <v>0</v>
      </c>
    </row>
    <row r="18" spans="1:9" ht="18.75">
      <c r="A18" s="16" t="s">
        <v>52</v>
      </c>
      <c r="B18" s="381" t="s">
        <v>236</v>
      </c>
      <c r="C18" s="349">
        <v>130</v>
      </c>
      <c r="D18" s="347">
        <f>E18+H18</f>
        <v>64913619.20000002</v>
      </c>
      <c r="E18" s="367">
        <f>E27</f>
        <v>64913619.20000002</v>
      </c>
      <c r="F18" s="347" t="s">
        <v>48</v>
      </c>
      <c r="G18" s="347" t="s">
        <v>48</v>
      </c>
      <c r="H18" s="347">
        <v>0</v>
      </c>
      <c r="I18" s="347">
        <v>0</v>
      </c>
    </row>
    <row r="19" spans="1:10" ht="37.5" customHeight="1" thickBot="1">
      <c r="A19" s="17" t="s">
        <v>53</v>
      </c>
      <c r="B19" s="382"/>
      <c r="C19" s="350"/>
      <c r="D19" s="348"/>
      <c r="E19" s="368"/>
      <c r="F19" s="348"/>
      <c r="G19" s="348"/>
      <c r="H19" s="348"/>
      <c r="I19" s="348"/>
      <c r="J19" s="95"/>
    </row>
    <row r="20" spans="1:13" s="49" customFormat="1" ht="36.75" customHeight="1" thickBot="1">
      <c r="A20" s="45" t="s">
        <v>54</v>
      </c>
      <c r="B20" s="46" t="s">
        <v>241</v>
      </c>
      <c r="C20" s="47">
        <v>130</v>
      </c>
      <c r="D20" s="48">
        <f>D21+D23+D24</f>
        <v>5296342.459999997</v>
      </c>
      <c r="E20" s="48" t="s">
        <v>48</v>
      </c>
      <c r="F20" s="48" t="s">
        <v>48</v>
      </c>
      <c r="G20" s="48" t="s">
        <v>48</v>
      </c>
      <c r="H20" s="48">
        <f>H21+H23</f>
        <v>5296342.459999997</v>
      </c>
      <c r="I20" s="48">
        <v>0</v>
      </c>
      <c r="K20" s="50">
        <f>E17-E27</f>
        <v>0</v>
      </c>
      <c r="M20" s="50">
        <f>H20+H13-H47</f>
        <v>0</v>
      </c>
    </row>
    <row r="21" spans="1:9" ht="18.75">
      <c r="A21" s="16" t="s">
        <v>22</v>
      </c>
      <c r="B21" s="381" t="s">
        <v>242</v>
      </c>
      <c r="C21" s="349">
        <v>130</v>
      </c>
      <c r="D21" s="347">
        <f>H21</f>
        <v>0</v>
      </c>
      <c r="E21" s="347" t="s">
        <v>48</v>
      </c>
      <c r="F21" s="347" t="s">
        <v>48</v>
      </c>
      <c r="G21" s="347" t="s">
        <v>48</v>
      </c>
      <c r="H21" s="383">
        <v>0</v>
      </c>
      <c r="I21" s="383">
        <v>0</v>
      </c>
    </row>
    <row r="22" spans="1:13" ht="21" customHeight="1" thickBot="1">
      <c r="A22" s="17" t="s">
        <v>55</v>
      </c>
      <c r="B22" s="382"/>
      <c r="C22" s="350"/>
      <c r="D22" s="348"/>
      <c r="E22" s="348"/>
      <c r="F22" s="348"/>
      <c r="G22" s="348"/>
      <c r="H22" s="384"/>
      <c r="I22" s="384"/>
      <c r="M22" s="129" t="s">
        <v>338</v>
      </c>
    </row>
    <row r="23" spans="1:13" ht="27.75" customHeight="1" thickBot="1">
      <c r="A23" s="17" t="s">
        <v>56</v>
      </c>
      <c r="B23" s="43" t="s">
        <v>243</v>
      </c>
      <c r="C23" s="195">
        <v>130</v>
      </c>
      <c r="D23" s="21">
        <f>H23</f>
        <v>5296342.459999997</v>
      </c>
      <c r="E23" s="21" t="s">
        <v>48</v>
      </c>
      <c r="F23" s="21" t="s">
        <v>48</v>
      </c>
      <c r="G23" s="21" t="s">
        <v>48</v>
      </c>
      <c r="H23" s="21">
        <f>H59</f>
        <v>5296342.459999997</v>
      </c>
      <c r="I23" s="21">
        <v>0</v>
      </c>
      <c r="M23" s="95"/>
    </row>
    <row r="24" spans="1:9" ht="27.75" customHeight="1" thickBot="1">
      <c r="A24" s="17" t="s">
        <v>57</v>
      </c>
      <c r="B24" s="43" t="s">
        <v>244</v>
      </c>
      <c r="C24" s="195">
        <v>140</v>
      </c>
      <c r="D24" s="21">
        <f>H24</f>
        <v>0</v>
      </c>
      <c r="E24" s="21" t="s">
        <v>48</v>
      </c>
      <c r="F24" s="21" t="s">
        <v>48</v>
      </c>
      <c r="G24" s="21" t="s">
        <v>48</v>
      </c>
      <c r="H24" s="21">
        <v>0</v>
      </c>
      <c r="I24" s="21" t="s">
        <v>48</v>
      </c>
    </row>
    <row r="25" spans="1:9" s="49" customFormat="1" ht="27.75" customHeight="1" thickBot="1">
      <c r="A25" s="45" t="s">
        <v>58</v>
      </c>
      <c r="B25" s="46" t="s">
        <v>245</v>
      </c>
      <c r="C25" s="47">
        <v>180</v>
      </c>
      <c r="D25" s="48">
        <f>F25+G25</f>
        <v>0</v>
      </c>
      <c r="E25" s="48" t="s">
        <v>48</v>
      </c>
      <c r="F25" s="163">
        <v>0</v>
      </c>
      <c r="G25" s="48">
        <v>0</v>
      </c>
      <c r="H25" s="48" t="s">
        <v>48</v>
      </c>
      <c r="I25" s="48" t="s">
        <v>48</v>
      </c>
    </row>
    <row r="26" spans="1:9" s="49" customFormat="1" ht="27.75" customHeight="1" thickBot="1">
      <c r="A26" s="51" t="s">
        <v>59</v>
      </c>
      <c r="B26" s="46" t="s">
        <v>247</v>
      </c>
      <c r="C26" s="47">
        <v>180</v>
      </c>
      <c r="D26" s="48">
        <f>H26</f>
        <v>0</v>
      </c>
      <c r="E26" s="48" t="s">
        <v>48</v>
      </c>
      <c r="F26" s="48" t="s">
        <v>48</v>
      </c>
      <c r="G26" s="48" t="s">
        <v>48</v>
      </c>
      <c r="H26" s="48">
        <v>0</v>
      </c>
      <c r="I26" s="48">
        <v>0</v>
      </c>
    </row>
    <row r="27" spans="1:15" s="61" customFormat="1" ht="27.75" customHeight="1" thickBot="1">
      <c r="A27" s="52" t="s">
        <v>60</v>
      </c>
      <c r="B27" s="53" t="s">
        <v>248</v>
      </c>
      <c r="C27" s="54" t="s">
        <v>48</v>
      </c>
      <c r="D27" s="55">
        <f>D28+D34+D37+D43+D47</f>
        <v>70209961.66000003</v>
      </c>
      <c r="E27" s="55">
        <f>E28+E34+E37+E43+E47</f>
        <v>64913619.20000002</v>
      </c>
      <c r="F27" s="55">
        <f>F28+F34+F37+F43+F47</f>
        <v>0</v>
      </c>
      <c r="G27" s="55">
        <f>G28+G34+G37+G43+G47</f>
        <v>0</v>
      </c>
      <c r="H27" s="55">
        <f>H28+H34+H37+H43+H47</f>
        <v>5296342.459999997</v>
      </c>
      <c r="I27" s="55"/>
      <c r="M27" s="61" t="s">
        <v>246</v>
      </c>
      <c r="N27" s="99">
        <f>57589356.83-E27</f>
        <v>-7324262.37000002</v>
      </c>
      <c r="O27" s="99" t="s">
        <v>337</v>
      </c>
    </row>
    <row r="28" spans="1:9" s="109" customFormat="1" ht="18.75">
      <c r="A28" s="164" t="s">
        <v>22</v>
      </c>
      <c r="B28" s="375" t="s">
        <v>249</v>
      </c>
      <c r="C28" s="377">
        <v>100</v>
      </c>
      <c r="D28" s="379">
        <f>D30+D32+D33</f>
        <v>51255011.27000001</v>
      </c>
      <c r="E28" s="379">
        <f>E30+E32+E33</f>
        <v>51255011.27000001</v>
      </c>
      <c r="F28" s="379">
        <f>F30+F32+F33</f>
        <v>0</v>
      </c>
      <c r="G28" s="379">
        <f>G30+G32+G33</f>
        <v>0</v>
      </c>
      <c r="H28" s="379">
        <f>H30+H32+H33</f>
        <v>0</v>
      </c>
      <c r="I28" s="379"/>
    </row>
    <row r="29" spans="1:13" s="109" customFormat="1" ht="21" customHeight="1" thickBot="1">
      <c r="A29" s="165" t="s">
        <v>61</v>
      </c>
      <c r="B29" s="376"/>
      <c r="C29" s="378"/>
      <c r="D29" s="380"/>
      <c r="E29" s="380"/>
      <c r="F29" s="380"/>
      <c r="G29" s="380"/>
      <c r="H29" s="380"/>
      <c r="I29" s="380"/>
      <c r="M29" s="166"/>
    </row>
    <row r="30" spans="1:9" s="109" customFormat="1" ht="18.75">
      <c r="A30" s="167" t="s">
        <v>4</v>
      </c>
      <c r="B30" s="369" t="s">
        <v>250</v>
      </c>
      <c r="C30" s="371">
        <v>111</v>
      </c>
      <c r="D30" s="367">
        <f>E30+F30+G30+H30</f>
        <v>39362220.64000001</v>
      </c>
      <c r="E30" s="367">
        <f>'мунзад 21'!J31</f>
        <v>39362220.64000001</v>
      </c>
      <c r="F30" s="367"/>
      <c r="G30" s="367">
        <v>0</v>
      </c>
      <c r="H30" s="367">
        <v>0</v>
      </c>
      <c r="I30" s="367"/>
    </row>
    <row r="31" spans="1:11" s="109" customFormat="1" ht="16.5" customHeight="1" thickBot="1">
      <c r="A31" s="168" t="s">
        <v>62</v>
      </c>
      <c r="B31" s="370"/>
      <c r="C31" s="372"/>
      <c r="D31" s="368"/>
      <c r="E31" s="368"/>
      <c r="F31" s="368"/>
      <c r="G31" s="368"/>
      <c r="H31" s="368"/>
      <c r="I31" s="368"/>
      <c r="J31" s="296">
        <f>38848091.61-E30</f>
        <v>-514129.03000000864</v>
      </c>
      <c r="K31" s="296"/>
    </row>
    <row r="32" spans="1:11" s="109" customFormat="1" ht="38.25" customHeight="1" thickBot="1">
      <c r="A32" s="111" t="s">
        <v>63</v>
      </c>
      <c r="B32" s="161" t="s">
        <v>251</v>
      </c>
      <c r="C32" s="112">
        <v>112</v>
      </c>
      <c r="D32" s="113">
        <f>E32+F32+G32+H32</f>
        <v>5400</v>
      </c>
      <c r="E32" s="113">
        <f>'мунзад 21'!F44</f>
        <v>5400</v>
      </c>
      <c r="F32" s="113"/>
      <c r="G32" s="113">
        <v>0</v>
      </c>
      <c r="H32" s="113">
        <v>0</v>
      </c>
      <c r="I32" s="113"/>
      <c r="J32" s="296"/>
      <c r="K32" s="296"/>
    </row>
    <row r="33" spans="1:11" s="109" customFormat="1" ht="60.75" customHeight="1" thickBot="1">
      <c r="A33" s="111" t="s">
        <v>64</v>
      </c>
      <c r="B33" s="161" t="s">
        <v>252</v>
      </c>
      <c r="C33" s="112">
        <v>119</v>
      </c>
      <c r="D33" s="113">
        <f>E33+F33+G33+H33</f>
        <v>11887390.63</v>
      </c>
      <c r="E33" s="113">
        <f>'мунзад 21'!D57</f>
        <v>11887390.63</v>
      </c>
      <c r="F33" s="113"/>
      <c r="G33" s="113">
        <v>0</v>
      </c>
      <c r="H33" s="113">
        <v>0</v>
      </c>
      <c r="I33" s="113"/>
      <c r="J33" s="296">
        <f>11732123.66-E33</f>
        <v>-155266.97000000067</v>
      </c>
      <c r="K33" s="296"/>
    </row>
    <row r="34" spans="1:9" s="109" customFormat="1" ht="27" customHeight="1" thickBot="1">
      <c r="A34" s="169" t="s">
        <v>65</v>
      </c>
      <c r="B34" s="170" t="s">
        <v>253</v>
      </c>
      <c r="C34" s="141">
        <v>300</v>
      </c>
      <c r="D34" s="163">
        <f>D35</f>
        <v>0</v>
      </c>
      <c r="E34" s="163">
        <f>E35</f>
        <v>0</v>
      </c>
      <c r="F34" s="163">
        <f>F35</f>
        <v>0</v>
      </c>
      <c r="G34" s="163">
        <f>G35</f>
        <v>0</v>
      </c>
      <c r="H34" s="163">
        <f>H35</f>
        <v>0</v>
      </c>
      <c r="I34" s="163"/>
    </row>
    <row r="35" spans="1:9" s="109" customFormat="1" ht="18.75">
      <c r="A35" s="171" t="s">
        <v>4</v>
      </c>
      <c r="B35" s="369" t="s">
        <v>254</v>
      </c>
      <c r="C35" s="371">
        <v>321</v>
      </c>
      <c r="D35" s="367">
        <f>E35+F35+G35+H35</f>
        <v>0</v>
      </c>
      <c r="E35" s="367">
        <v>0</v>
      </c>
      <c r="F35" s="367">
        <v>0</v>
      </c>
      <c r="G35" s="367">
        <v>0</v>
      </c>
      <c r="H35" s="367">
        <v>0</v>
      </c>
      <c r="I35" s="367"/>
    </row>
    <row r="36" spans="1:9" s="109" customFormat="1" ht="39.75" customHeight="1" thickBot="1">
      <c r="A36" s="111" t="s">
        <v>66</v>
      </c>
      <c r="B36" s="370"/>
      <c r="C36" s="372"/>
      <c r="D36" s="368"/>
      <c r="E36" s="368"/>
      <c r="F36" s="368"/>
      <c r="G36" s="368"/>
      <c r="H36" s="368"/>
      <c r="I36" s="368"/>
    </row>
    <row r="37" spans="1:9" s="109" customFormat="1" ht="27.75" customHeight="1" thickBot="1">
      <c r="A37" s="169" t="s">
        <v>67</v>
      </c>
      <c r="B37" s="170" t="s">
        <v>255</v>
      </c>
      <c r="C37" s="141">
        <v>850</v>
      </c>
      <c r="D37" s="163">
        <f>D38+D40+D41+D42</f>
        <v>2032197.000000007</v>
      </c>
      <c r="E37" s="163">
        <f>E38+E40+E41+E42</f>
        <v>2032197.000000007</v>
      </c>
      <c r="F37" s="163">
        <f>F38+F40+F41+F42</f>
        <v>0</v>
      </c>
      <c r="G37" s="163">
        <f>G40</f>
        <v>0</v>
      </c>
      <c r="H37" s="163">
        <f>H38+H40+H41+H42</f>
        <v>0</v>
      </c>
      <c r="I37" s="163"/>
    </row>
    <row r="38" spans="1:9" s="109" customFormat="1" ht="15" customHeight="1">
      <c r="A38" s="171" t="s">
        <v>4</v>
      </c>
      <c r="B38" s="369" t="s">
        <v>256</v>
      </c>
      <c r="C38" s="371">
        <v>851</v>
      </c>
      <c r="D38" s="367">
        <f>E38+F38+H38</f>
        <v>906852.0000000121</v>
      </c>
      <c r="E38" s="367">
        <f>'мунзад 21'!E78</f>
        <v>906852.0000000121</v>
      </c>
      <c r="F38" s="367">
        <v>0</v>
      </c>
      <c r="G38" s="367" t="s">
        <v>48</v>
      </c>
      <c r="H38" s="367">
        <v>0</v>
      </c>
      <c r="I38" s="367"/>
    </row>
    <row r="39" spans="1:9" s="109" customFormat="1" ht="15.75" customHeight="1" thickBot="1">
      <c r="A39" s="111" t="s">
        <v>87</v>
      </c>
      <c r="B39" s="370"/>
      <c r="C39" s="372"/>
      <c r="D39" s="368"/>
      <c r="E39" s="368"/>
      <c r="F39" s="368"/>
      <c r="G39" s="368"/>
      <c r="H39" s="368"/>
      <c r="I39" s="368"/>
    </row>
    <row r="40" spans="1:9" s="109" customFormat="1" ht="24.75" customHeight="1" thickBot="1">
      <c r="A40" s="162" t="s">
        <v>68</v>
      </c>
      <c r="B40" s="161" t="s">
        <v>257</v>
      </c>
      <c r="C40" s="112">
        <v>851</v>
      </c>
      <c r="D40" s="113">
        <f>E40+F40+G40+H40</f>
        <v>1108174.9999999949</v>
      </c>
      <c r="E40" s="113">
        <f>'мунзад 21'!E79</f>
        <v>1108174.9999999949</v>
      </c>
      <c r="F40" s="113">
        <v>0</v>
      </c>
      <c r="G40" s="113">
        <v>0</v>
      </c>
      <c r="H40" s="113">
        <v>0</v>
      </c>
      <c r="I40" s="113"/>
    </row>
    <row r="41" spans="1:9" s="109" customFormat="1" ht="24.75" customHeight="1" thickBot="1">
      <c r="A41" s="111" t="s">
        <v>69</v>
      </c>
      <c r="B41" s="161" t="s">
        <v>258</v>
      </c>
      <c r="C41" s="112">
        <v>852</v>
      </c>
      <c r="D41" s="113">
        <f>E41+F41+H41</f>
        <v>17170</v>
      </c>
      <c r="E41" s="113">
        <f>'мунзад 21'!E80</f>
        <v>17170</v>
      </c>
      <c r="F41" s="113">
        <v>0</v>
      </c>
      <c r="G41" s="113" t="s">
        <v>48</v>
      </c>
      <c r="H41" s="113">
        <v>0</v>
      </c>
      <c r="I41" s="113"/>
    </row>
    <row r="42" spans="1:9" s="109" customFormat="1" ht="22.5" customHeight="1" thickBot="1">
      <c r="A42" s="111" t="s">
        <v>70</v>
      </c>
      <c r="B42" s="161" t="s">
        <v>259</v>
      </c>
      <c r="C42" s="112">
        <v>853</v>
      </c>
      <c r="D42" s="113">
        <f>E42+F42+H42</f>
        <v>0</v>
      </c>
      <c r="E42" s="113">
        <f>'мунзад 21'!E82</f>
        <v>0</v>
      </c>
      <c r="F42" s="113">
        <v>0</v>
      </c>
      <c r="G42" s="113" t="s">
        <v>48</v>
      </c>
      <c r="H42" s="113">
        <v>0</v>
      </c>
      <c r="I42" s="113"/>
    </row>
    <row r="43" spans="1:9" s="172" customFormat="1" ht="37.5" customHeight="1" thickBot="1">
      <c r="A43" s="169" t="s">
        <v>71</v>
      </c>
      <c r="B43" s="170" t="s">
        <v>260</v>
      </c>
      <c r="C43" s="141">
        <v>400</v>
      </c>
      <c r="D43" s="163">
        <f>D44+D46</f>
        <v>0</v>
      </c>
      <c r="E43" s="163">
        <f>E44+E46</f>
        <v>0</v>
      </c>
      <c r="F43" s="163">
        <f>F44+F46</f>
        <v>0</v>
      </c>
      <c r="G43" s="163">
        <f>G44+G46</f>
        <v>0</v>
      </c>
      <c r="H43" s="163">
        <f>H44+H46</f>
        <v>0</v>
      </c>
      <c r="I43" s="163"/>
    </row>
    <row r="44" spans="1:9" s="109" customFormat="1" ht="18.75">
      <c r="A44" s="167" t="s">
        <v>4</v>
      </c>
      <c r="B44" s="369" t="s">
        <v>261</v>
      </c>
      <c r="C44" s="371">
        <v>416</v>
      </c>
      <c r="D44" s="367">
        <f>E44+F44+G44+H44</f>
        <v>0</v>
      </c>
      <c r="E44" s="367">
        <v>0</v>
      </c>
      <c r="F44" s="367">
        <v>0</v>
      </c>
      <c r="G44" s="367">
        <v>0</v>
      </c>
      <c r="H44" s="367">
        <v>0</v>
      </c>
      <c r="I44" s="367"/>
    </row>
    <row r="45" spans="1:9" s="109" customFormat="1" ht="39" customHeight="1" thickBot="1">
      <c r="A45" s="162" t="s">
        <v>72</v>
      </c>
      <c r="B45" s="370"/>
      <c r="C45" s="372"/>
      <c r="D45" s="368"/>
      <c r="E45" s="368"/>
      <c r="F45" s="368"/>
      <c r="G45" s="368"/>
      <c r="H45" s="368"/>
      <c r="I45" s="368"/>
    </row>
    <row r="46" spans="1:9" s="109" customFormat="1" ht="44.25" customHeight="1" thickBot="1">
      <c r="A46" s="162" t="s">
        <v>73</v>
      </c>
      <c r="B46" s="161" t="s">
        <v>262</v>
      </c>
      <c r="C46" s="112">
        <v>417</v>
      </c>
      <c r="D46" s="113">
        <f>E46+F46+G46+H46</f>
        <v>0</v>
      </c>
      <c r="E46" s="113">
        <v>0</v>
      </c>
      <c r="F46" s="113">
        <v>0</v>
      </c>
      <c r="G46" s="113">
        <v>0</v>
      </c>
      <c r="H46" s="113">
        <v>0</v>
      </c>
      <c r="I46" s="113"/>
    </row>
    <row r="47" spans="1:14" s="172" customFormat="1" ht="27" customHeight="1" thickBot="1">
      <c r="A47" s="300" t="s">
        <v>74</v>
      </c>
      <c r="B47" s="301" t="s">
        <v>263</v>
      </c>
      <c r="C47" s="302">
        <v>200</v>
      </c>
      <c r="D47" s="303">
        <f>D48+D50</f>
        <v>16922753.39</v>
      </c>
      <c r="E47" s="303">
        <f>E48+E50</f>
        <v>11626410.930000002</v>
      </c>
      <c r="F47" s="303">
        <f>F48+F50</f>
        <v>0</v>
      </c>
      <c r="G47" s="303">
        <f>G48+G50</f>
        <v>0</v>
      </c>
      <c r="H47" s="303">
        <f>H48+H50</f>
        <v>5296342.459999997</v>
      </c>
      <c r="I47" s="303"/>
      <c r="M47" s="173"/>
      <c r="N47" s="173"/>
    </row>
    <row r="48" spans="1:14" s="109" customFormat="1" ht="18.75">
      <c r="A48" s="167" t="s">
        <v>4</v>
      </c>
      <c r="B48" s="369" t="s">
        <v>264</v>
      </c>
      <c r="C48" s="371">
        <v>243</v>
      </c>
      <c r="D48" s="367">
        <f>E48+F48+G48+H48</f>
        <v>0</v>
      </c>
      <c r="E48" s="367">
        <v>0</v>
      </c>
      <c r="F48" s="367">
        <v>0</v>
      </c>
      <c r="G48" s="367">
        <v>0</v>
      </c>
      <c r="H48" s="367">
        <v>0</v>
      </c>
      <c r="I48" s="367"/>
      <c r="N48" s="166"/>
    </row>
    <row r="49" spans="1:9" s="109" customFormat="1" ht="36" customHeight="1" thickBot="1">
      <c r="A49" s="168" t="s">
        <v>75</v>
      </c>
      <c r="B49" s="370"/>
      <c r="C49" s="372"/>
      <c r="D49" s="368"/>
      <c r="E49" s="368"/>
      <c r="F49" s="368"/>
      <c r="G49" s="368"/>
      <c r="H49" s="368"/>
      <c r="I49" s="368"/>
    </row>
    <row r="50" spans="1:9" s="109" customFormat="1" ht="33" customHeight="1" thickBot="1">
      <c r="A50" s="194" t="s">
        <v>76</v>
      </c>
      <c r="B50" s="193" t="s">
        <v>265</v>
      </c>
      <c r="C50" s="112">
        <v>244</v>
      </c>
      <c r="D50" s="113">
        <f>D54+D55+D56+D57+D58+D59+D51+D53</f>
        <v>16922753.39</v>
      </c>
      <c r="E50" s="113">
        <f>E54+E55+E56+E57+E58+E59+E51+E53</f>
        <v>11626410.930000002</v>
      </c>
      <c r="F50" s="113">
        <f>F54+F55+F56+F57+F58+F59</f>
        <v>0</v>
      </c>
      <c r="G50" s="113">
        <f>G54+G56+G57+G58+G59</f>
        <v>0</v>
      </c>
      <c r="H50" s="113">
        <f>H54+H55+H56+H57+H58+H59</f>
        <v>5296342.459999997</v>
      </c>
      <c r="I50" s="113"/>
    </row>
    <row r="51" spans="1:9" s="109" customFormat="1" ht="18.75">
      <c r="A51" s="174" t="s">
        <v>4</v>
      </c>
      <c r="B51" s="369" t="s">
        <v>266</v>
      </c>
      <c r="C51" s="371">
        <v>244</v>
      </c>
      <c r="D51" s="367">
        <f>E51+F51+H51</f>
        <v>72000</v>
      </c>
      <c r="E51" s="367">
        <f>'мунзад 21'!F96</f>
        <v>72000</v>
      </c>
      <c r="F51" s="367">
        <v>0</v>
      </c>
      <c r="G51" s="367" t="s">
        <v>48</v>
      </c>
      <c r="H51" s="367">
        <v>0</v>
      </c>
      <c r="I51" s="367"/>
    </row>
    <row r="52" spans="1:9" s="109" customFormat="1" ht="17.25" customHeight="1" thickBot="1">
      <c r="A52" s="160" t="s">
        <v>77</v>
      </c>
      <c r="B52" s="370"/>
      <c r="C52" s="372"/>
      <c r="D52" s="368"/>
      <c r="E52" s="368"/>
      <c r="F52" s="368"/>
      <c r="G52" s="368"/>
      <c r="H52" s="368"/>
      <c r="I52" s="368"/>
    </row>
    <row r="53" spans="1:9" s="109" customFormat="1" ht="24.75" customHeight="1" thickBot="1">
      <c r="A53" s="160" t="s">
        <v>459</v>
      </c>
      <c r="B53" s="161" t="s">
        <v>267</v>
      </c>
      <c r="C53" s="112">
        <v>244</v>
      </c>
      <c r="D53" s="113">
        <f>E53+F53+G53+H53</f>
        <v>760000</v>
      </c>
      <c r="E53" s="113">
        <f>'мунзад 21'!E103</f>
        <v>760000</v>
      </c>
      <c r="F53" s="113">
        <v>0</v>
      </c>
      <c r="G53" s="113">
        <v>0</v>
      </c>
      <c r="H53" s="113">
        <v>0</v>
      </c>
      <c r="I53" s="113"/>
    </row>
    <row r="54" spans="1:9" s="109" customFormat="1" ht="24.75" customHeight="1" thickBot="1">
      <c r="A54" s="160" t="s">
        <v>78</v>
      </c>
      <c r="B54" s="161" t="s">
        <v>267</v>
      </c>
      <c r="C54" s="112">
        <v>244</v>
      </c>
      <c r="D54" s="113">
        <f>E54+F54+G54+H54</f>
        <v>5156046.25</v>
      </c>
      <c r="E54" s="113">
        <f>'мунзад 21'!G115</f>
        <v>5156046.25</v>
      </c>
      <c r="F54" s="113">
        <v>0</v>
      </c>
      <c r="G54" s="113">
        <v>0</v>
      </c>
      <c r="H54" s="113">
        <f>'приносяш 2021'!G93</f>
        <v>0</v>
      </c>
      <c r="I54" s="113"/>
    </row>
    <row r="55" spans="1:9" s="109" customFormat="1" ht="24.75" customHeight="1" thickBot="1">
      <c r="A55" s="160" t="s">
        <v>79</v>
      </c>
      <c r="B55" s="161" t="s">
        <v>268</v>
      </c>
      <c r="C55" s="112">
        <v>244</v>
      </c>
      <c r="D55" s="113">
        <f>E55+F55+H55</f>
        <v>0</v>
      </c>
      <c r="E55" s="113">
        <v>0</v>
      </c>
      <c r="F55" s="113">
        <v>0</v>
      </c>
      <c r="G55" s="113" t="s">
        <v>48</v>
      </c>
      <c r="H55" s="113">
        <v>0</v>
      </c>
      <c r="I55" s="113"/>
    </row>
    <row r="56" spans="1:9" s="109" customFormat="1" ht="24.75" customHeight="1" thickBot="1">
      <c r="A56" s="160" t="s">
        <v>80</v>
      </c>
      <c r="B56" s="161" t="s">
        <v>269</v>
      </c>
      <c r="C56" s="112">
        <v>244</v>
      </c>
      <c r="D56" s="113">
        <f aca="true" t="shared" si="0" ref="D56:D61">E56+F56+G56+H56</f>
        <v>2605063.12</v>
      </c>
      <c r="E56" s="113">
        <f>'мунзад 21'!E151</f>
        <v>2605063.12</v>
      </c>
      <c r="F56" s="113">
        <v>0</v>
      </c>
      <c r="G56" s="113">
        <v>0</v>
      </c>
      <c r="H56" s="113">
        <f>'приносяш 2021'!E116</f>
        <v>0</v>
      </c>
      <c r="I56" s="113"/>
    </row>
    <row r="57" spans="1:9" s="109" customFormat="1" ht="24.75" customHeight="1" thickBot="1">
      <c r="A57" s="190" t="s">
        <v>81</v>
      </c>
      <c r="B57" s="193" t="s">
        <v>270</v>
      </c>
      <c r="C57" s="112">
        <v>244</v>
      </c>
      <c r="D57" s="113">
        <f t="shared" si="0"/>
        <v>1066000</v>
      </c>
      <c r="E57" s="113">
        <f>'мунзад 21'!D165</f>
        <v>1066000</v>
      </c>
      <c r="F57" s="113">
        <v>0</v>
      </c>
      <c r="G57" s="113">
        <v>0</v>
      </c>
      <c r="H57" s="113">
        <v>0</v>
      </c>
      <c r="I57" s="113"/>
    </row>
    <row r="58" spans="1:9" s="109" customFormat="1" ht="24.75" customHeight="1" thickBot="1">
      <c r="A58" s="160" t="s">
        <v>82</v>
      </c>
      <c r="B58" s="161" t="s">
        <v>271</v>
      </c>
      <c r="C58" s="112">
        <v>244</v>
      </c>
      <c r="D58" s="113">
        <f t="shared" si="0"/>
        <v>250000</v>
      </c>
      <c r="E58" s="113">
        <f>'мунзад 21'!E174</f>
        <v>250000</v>
      </c>
      <c r="F58" s="113">
        <v>0</v>
      </c>
      <c r="G58" s="113">
        <v>0</v>
      </c>
      <c r="H58" s="113">
        <v>0</v>
      </c>
      <c r="I58" s="113"/>
    </row>
    <row r="59" spans="1:9" s="109" customFormat="1" ht="24.75" customHeight="1" thickBot="1">
      <c r="A59" s="160" t="s">
        <v>83</v>
      </c>
      <c r="B59" s="161" t="s">
        <v>272</v>
      </c>
      <c r="C59" s="112">
        <v>244</v>
      </c>
      <c r="D59" s="113">
        <f t="shared" si="0"/>
        <v>7013644.019999998</v>
      </c>
      <c r="E59" s="113">
        <f>'мунзад 21'!E179</f>
        <v>1717301.56</v>
      </c>
      <c r="F59" s="113"/>
      <c r="G59" s="113">
        <v>0</v>
      </c>
      <c r="H59" s="113">
        <f>'приносяш 2021'!E147+'приносяш 2021'!H161</f>
        <v>5296342.459999997</v>
      </c>
      <c r="I59" s="113"/>
    </row>
    <row r="60" spans="1:9" s="109" customFormat="1" ht="24.75" customHeight="1" thickBot="1">
      <c r="A60" s="162" t="s">
        <v>84</v>
      </c>
      <c r="B60" s="161" t="s">
        <v>273</v>
      </c>
      <c r="C60" s="112">
        <v>500</v>
      </c>
      <c r="D60" s="113">
        <f t="shared" si="0"/>
        <v>70209961.66000001</v>
      </c>
      <c r="E60" s="113">
        <f>E12</f>
        <v>64913619.20000002</v>
      </c>
      <c r="F60" s="113">
        <f>F1</f>
        <v>0</v>
      </c>
      <c r="G60" s="113">
        <f>G12</f>
        <v>0</v>
      </c>
      <c r="H60" s="113">
        <f>H12</f>
        <v>5296342.459999997</v>
      </c>
      <c r="I60" s="113"/>
    </row>
    <row r="61" spans="1:9" s="109" customFormat="1" ht="24.75" customHeight="1" thickBot="1">
      <c r="A61" s="162" t="s">
        <v>85</v>
      </c>
      <c r="B61" s="161" t="s">
        <v>274</v>
      </c>
      <c r="C61" s="112">
        <v>600</v>
      </c>
      <c r="D61" s="113">
        <f t="shared" si="0"/>
        <v>70209961.66000001</v>
      </c>
      <c r="E61" s="113">
        <f>E27</f>
        <v>64913619.20000002</v>
      </c>
      <c r="F61" s="113">
        <f>F27</f>
        <v>0</v>
      </c>
      <c r="G61" s="113">
        <f>G27</f>
        <v>0</v>
      </c>
      <c r="H61" s="113">
        <f>H27</f>
        <v>5296342.459999997</v>
      </c>
      <c r="I61" s="113"/>
    </row>
    <row r="62" spans="1:9" s="109" customFormat="1" ht="24.75" customHeight="1" thickBot="1">
      <c r="A62" s="162" t="s">
        <v>86</v>
      </c>
      <c r="B62" s="161" t="s">
        <v>275</v>
      </c>
      <c r="C62" s="112">
        <v>600</v>
      </c>
      <c r="D62" s="113">
        <f>E62+F62+G62+I62+H62</f>
        <v>0</v>
      </c>
      <c r="E62" s="113">
        <v>0</v>
      </c>
      <c r="F62" s="113">
        <v>0</v>
      </c>
      <c r="G62" s="113">
        <f>G11+G12-G27</f>
        <v>0</v>
      </c>
      <c r="H62" s="113">
        <v>0</v>
      </c>
      <c r="I62" s="113"/>
    </row>
    <row r="63" spans="4:9" s="175" customFormat="1" ht="15">
      <c r="D63" s="176">
        <f aca="true" t="shared" si="1" ref="D63:I63">D12-D27+D11</f>
        <v>-1.4901161193847656E-08</v>
      </c>
      <c r="E63" s="176">
        <f t="shared" si="1"/>
        <v>0</v>
      </c>
      <c r="F63" s="176">
        <f t="shared" si="1"/>
        <v>0</v>
      </c>
      <c r="G63" s="176">
        <f t="shared" si="1"/>
        <v>0</v>
      </c>
      <c r="H63" s="176">
        <f t="shared" si="1"/>
        <v>0</v>
      </c>
      <c r="I63" s="176">
        <f t="shared" si="1"/>
        <v>0</v>
      </c>
    </row>
    <row r="64" s="109" customFormat="1" ht="15"/>
    <row r="65" s="109" customFormat="1" ht="15"/>
    <row r="66" spans="4:10" s="109" customFormat="1" ht="15">
      <c r="D66" s="166"/>
      <c r="E66" s="295">
        <f>E11+E12-E27</f>
        <v>0</v>
      </c>
      <c r="F66" s="295">
        <f>F11+F12-F27</f>
        <v>0</v>
      </c>
      <c r="G66" s="295">
        <f>G11+G12-G27</f>
        <v>0</v>
      </c>
      <c r="H66" s="295">
        <f>H11+H12-H27</f>
        <v>0</v>
      </c>
      <c r="I66" s="166"/>
      <c r="J66" s="296">
        <f>J31+J33</f>
        <v>-669396.0000000093</v>
      </c>
    </row>
    <row r="67" spans="5:8" s="109" customFormat="1" ht="15">
      <c r="E67" s="295">
        <f>E60-E61</f>
        <v>0</v>
      </c>
      <c r="F67" s="295">
        <f>F60-F61</f>
        <v>0</v>
      </c>
      <c r="G67" s="295">
        <f>G60-G61</f>
        <v>0</v>
      </c>
      <c r="H67" s="295">
        <f>H60-H61</f>
        <v>0</v>
      </c>
    </row>
    <row r="68" s="109" customFormat="1" ht="15"/>
    <row r="69" s="109" customFormat="1" ht="15">
      <c r="E69" s="166"/>
    </row>
    <row r="70" ht="15">
      <c r="E70" s="95"/>
    </row>
    <row r="1206" ht="15"/>
  </sheetData>
  <sheetProtection/>
  <mergeCells count="102">
    <mergeCell ref="A3:I3"/>
    <mergeCell ref="A4:I4"/>
    <mergeCell ref="A6:A9"/>
    <mergeCell ref="B6:B9"/>
    <mergeCell ref="C6:C9"/>
    <mergeCell ref="D6:I6"/>
    <mergeCell ref="D7:D9"/>
    <mergeCell ref="E7:I7"/>
    <mergeCell ref="E8:E9"/>
    <mergeCell ref="F8:F9"/>
    <mergeCell ref="G8:G9"/>
    <mergeCell ref="H8:I8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M13:M16"/>
    <mergeCell ref="B15:B16"/>
    <mergeCell ref="C15:C16"/>
    <mergeCell ref="D15:D16"/>
    <mergeCell ref="E15:E16"/>
    <mergeCell ref="F15:F16"/>
    <mergeCell ref="G15:G16"/>
    <mergeCell ref="H15:H16"/>
    <mergeCell ref="I15:I16"/>
    <mergeCell ref="B18:B19"/>
    <mergeCell ref="C18:C19"/>
    <mergeCell ref="D18:D19"/>
    <mergeCell ref="E18:E19"/>
    <mergeCell ref="F18:F19"/>
    <mergeCell ref="G18:G19"/>
    <mergeCell ref="H18:H19"/>
    <mergeCell ref="I18:I19"/>
    <mergeCell ref="B21:B22"/>
    <mergeCell ref="C21:C22"/>
    <mergeCell ref="D21:D22"/>
    <mergeCell ref="E21:E22"/>
    <mergeCell ref="F21:F22"/>
    <mergeCell ref="G21:G22"/>
    <mergeCell ref="H21:H22"/>
    <mergeCell ref="I21:I22"/>
    <mergeCell ref="B28:B29"/>
    <mergeCell ref="C28:C29"/>
    <mergeCell ref="D28:D29"/>
    <mergeCell ref="E28:E29"/>
    <mergeCell ref="F28:F29"/>
    <mergeCell ref="G28:G29"/>
    <mergeCell ref="H28:H29"/>
    <mergeCell ref="I28:I29"/>
    <mergeCell ref="B30:B31"/>
    <mergeCell ref="C30:C31"/>
    <mergeCell ref="D30:D31"/>
    <mergeCell ref="E30:E31"/>
    <mergeCell ref="F30:F31"/>
    <mergeCell ref="G30:G31"/>
    <mergeCell ref="H30:H31"/>
    <mergeCell ref="I30:I31"/>
    <mergeCell ref="B35:B36"/>
    <mergeCell ref="C35:C36"/>
    <mergeCell ref="D35:D36"/>
    <mergeCell ref="E35:E36"/>
    <mergeCell ref="F35:F36"/>
    <mergeCell ref="G35:G36"/>
    <mergeCell ref="H35:H36"/>
    <mergeCell ref="I35:I36"/>
    <mergeCell ref="B38:B39"/>
    <mergeCell ref="C38:C39"/>
    <mergeCell ref="D38:D39"/>
    <mergeCell ref="E38:E39"/>
    <mergeCell ref="F38:F39"/>
    <mergeCell ref="G38:G39"/>
    <mergeCell ref="H38:H39"/>
    <mergeCell ref="I38:I39"/>
    <mergeCell ref="B44:B45"/>
    <mergeCell ref="C44:C45"/>
    <mergeCell ref="D44:D45"/>
    <mergeCell ref="E44:E45"/>
    <mergeCell ref="F44:F45"/>
    <mergeCell ref="G44:G45"/>
    <mergeCell ref="H44:H45"/>
    <mergeCell ref="I44:I45"/>
    <mergeCell ref="B48:B49"/>
    <mergeCell ref="C48:C49"/>
    <mergeCell ref="D48:D49"/>
    <mergeCell ref="E48:E49"/>
    <mergeCell ref="F48:F49"/>
    <mergeCell ref="G48:G49"/>
    <mergeCell ref="H48:H49"/>
    <mergeCell ref="I48:I49"/>
    <mergeCell ref="H51:H52"/>
    <mergeCell ref="I51:I52"/>
    <mergeCell ref="B51:B52"/>
    <mergeCell ref="C51:C52"/>
    <mergeCell ref="D51:D52"/>
    <mergeCell ref="E51:E52"/>
    <mergeCell ref="F51:F52"/>
    <mergeCell ref="G51:G52"/>
  </mergeCells>
  <hyperlinks>
    <hyperlink ref="A6" location="Par1206" display="Par1206"/>
    <hyperlink ref="F8" r:id="rId1" display="consultantplus://offline/ref=EC513630DD0A2F9B2EC0205798B851993A5251D08ECB4308CDDA19182ECC2154EE9666852E0BHBNDC"/>
  </hyperlink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48" r:id="rId2"/>
  <rowBreaks count="1" manualBreakCount="1">
    <brk id="39" max="8" man="1"/>
  </rowBreaks>
  <colBreaks count="1" manualBreakCount="1">
    <brk id="9" max="6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X188"/>
  <sheetViews>
    <sheetView view="pageBreakPreview" zoomScale="60" zoomScaleNormal="60" zoomScalePageLayoutView="0" workbookViewId="0" topLeftCell="A161">
      <selection activeCell="F134" sqref="F134"/>
    </sheetView>
  </sheetViews>
  <sheetFormatPr defaultColWidth="9.140625" defaultRowHeight="15"/>
  <cols>
    <col min="1" max="1" width="6.00390625" style="134" customWidth="1"/>
    <col min="2" max="2" width="52.00390625" style="134" customWidth="1"/>
    <col min="3" max="3" width="20.57421875" style="134" customWidth="1"/>
    <col min="4" max="4" width="19.140625" style="134" customWidth="1"/>
    <col min="5" max="5" width="19.28125" style="134" customWidth="1"/>
    <col min="6" max="6" width="20.57421875" style="134" customWidth="1"/>
    <col min="7" max="7" width="21.140625" style="134" customWidth="1"/>
    <col min="8" max="8" width="15.57421875" style="134" customWidth="1"/>
    <col min="9" max="9" width="16.421875" style="134" customWidth="1"/>
    <col min="10" max="10" width="20.57421875" style="134" customWidth="1"/>
    <col min="11" max="11" width="5.8515625" style="227" customWidth="1"/>
    <col min="12" max="12" width="21.7109375" style="227" customWidth="1"/>
    <col min="13" max="13" width="19.8515625" style="227" customWidth="1"/>
    <col min="14" max="14" width="26.00390625" style="227" customWidth="1"/>
    <col min="15" max="15" width="29.57421875" style="227" customWidth="1"/>
    <col min="16" max="17" width="9.140625" style="227" customWidth="1"/>
    <col min="18" max="18" width="13.7109375" style="227" bestFit="1" customWidth="1"/>
    <col min="19" max="19" width="13.421875" style="227" bestFit="1" customWidth="1"/>
    <col min="20" max="24" width="9.140625" style="227" customWidth="1"/>
    <col min="25" max="16384" width="9.140625" style="134" customWidth="1"/>
  </cols>
  <sheetData>
    <row r="1" spans="10:11" ht="18.75">
      <c r="J1" s="219" t="s">
        <v>107</v>
      </c>
      <c r="K1" s="219"/>
    </row>
    <row r="2" spans="10:11" ht="18.75">
      <c r="J2" s="219" t="s">
        <v>108</v>
      </c>
      <c r="K2" s="219"/>
    </row>
    <row r="3" spans="10:11" ht="16.5">
      <c r="J3" s="220" t="s">
        <v>109</v>
      </c>
      <c r="K3" s="220"/>
    </row>
    <row r="4" spans="10:11" ht="16.5">
      <c r="J4" s="220" t="s">
        <v>110</v>
      </c>
      <c r="K4" s="220"/>
    </row>
    <row r="5" spans="10:11" ht="16.5">
      <c r="J5" s="220" t="s">
        <v>111</v>
      </c>
      <c r="K5" s="220"/>
    </row>
    <row r="6" spans="10:11" ht="16.5">
      <c r="J6" s="220" t="s">
        <v>112</v>
      </c>
      <c r="K6" s="220"/>
    </row>
    <row r="7" spans="10:11" ht="16.5">
      <c r="J7" s="220" t="s">
        <v>113</v>
      </c>
      <c r="K7" s="220"/>
    </row>
    <row r="8" spans="10:11" ht="16.5">
      <c r="J8" s="220" t="s">
        <v>114</v>
      </c>
      <c r="K8" s="220"/>
    </row>
    <row r="10" ht="15">
      <c r="M10" s="229">
        <v>39274614.33</v>
      </c>
    </row>
    <row r="11" spans="1:11" ht="15" customHeight="1">
      <c r="A11" s="402" t="s">
        <v>351</v>
      </c>
      <c r="B11" s="402"/>
      <c r="C11" s="402"/>
      <c r="D11" s="402"/>
      <c r="E11" s="402"/>
      <c r="F11" s="402"/>
      <c r="G11" s="402"/>
      <c r="H11" s="402"/>
      <c r="I11" s="402"/>
      <c r="J11" s="402"/>
      <c r="K11" s="307"/>
    </row>
    <row r="12" spans="1:11" ht="18.75">
      <c r="A12" s="221"/>
      <c r="B12" s="221"/>
      <c r="C12" s="307"/>
      <c r="D12" s="221"/>
      <c r="E12" s="221"/>
      <c r="F12" s="221"/>
      <c r="G12" s="221"/>
      <c r="H12" s="221"/>
      <c r="I12" s="221"/>
      <c r="J12" s="221"/>
      <c r="K12" s="221"/>
    </row>
    <row r="13" spans="1:11" ht="18.75">
      <c r="A13" s="402" t="s">
        <v>115</v>
      </c>
      <c r="B13" s="402"/>
      <c r="C13" s="402"/>
      <c r="D13" s="402"/>
      <c r="E13" s="402"/>
      <c r="F13" s="402"/>
      <c r="G13" s="402"/>
      <c r="H13" s="402"/>
      <c r="I13" s="402"/>
      <c r="J13" s="402"/>
      <c r="K13" s="307"/>
    </row>
    <row r="14" spans="1:11" ht="15">
      <c r="A14" s="221"/>
      <c r="B14" s="221"/>
      <c r="C14" s="221"/>
      <c r="D14" s="221"/>
      <c r="E14" s="221"/>
      <c r="F14" s="221"/>
      <c r="G14" s="221"/>
      <c r="H14" s="221"/>
      <c r="I14" s="221"/>
      <c r="J14" s="221"/>
      <c r="K14" s="221"/>
    </row>
    <row r="15" spans="1:13" ht="18.75">
      <c r="A15" s="403" t="s">
        <v>284</v>
      </c>
      <c r="B15" s="403"/>
      <c r="C15" s="403"/>
      <c r="D15" s="403"/>
      <c r="E15" s="403"/>
      <c r="F15" s="403"/>
      <c r="G15" s="403"/>
      <c r="H15" s="403"/>
      <c r="I15" s="403"/>
      <c r="J15" s="403"/>
      <c r="K15" s="310"/>
      <c r="L15" s="229"/>
      <c r="M15" s="229">
        <f>37825171.98-M20</f>
        <v>37655430.809999995</v>
      </c>
    </row>
    <row r="16" spans="1:11" ht="21" customHeight="1">
      <c r="A16" s="403" t="s">
        <v>285</v>
      </c>
      <c r="B16" s="403"/>
      <c r="C16" s="403"/>
      <c r="D16" s="403"/>
      <c r="E16" s="403"/>
      <c r="F16" s="403"/>
      <c r="G16" s="403"/>
      <c r="H16" s="403"/>
      <c r="I16" s="403"/>
      <c r="J16" s="403"/>
      <c r="K16" s="310"/>
    </row>
    <row r="17" ht="18.75">
      <c r="A17" s="184"/>
    </row>
    <row r="18" spans="1:13" ht="18.75">
      <c r="A18" s="402" t="s">
        <v>116</v>
      </c>
      <c r="B18" s="402"/>
      <c r="C18" s="402"/>
      <c r="D18" s="402"/>
      <c r="E18" s="402"/>
      <c r="F18" s="402"/>
      <c r="G18" s="402"/>
      <c r="H18" s="402"/>
      <c r="I18" s="402"/>
      <c r="J18" s="402"/>
      <c r="K18" s="307"/>
      <c r="M18" s="229">
        <f>M28-J28-J30</f>
        <v>0</v>
      </c>
    </row>
    <row r="19" ht="15.75" thickBot="1"/>
    <row r="20" spans="1:14" ht="36" customHeight="1" thickBot="1">
      <c r="A20" s="371" t="s">
        <v>0</v>
      </c>
      <c r="B20" s="371" t="s">
        <v>117</v>
      </c>
      <c r="C20" s="371" t="s">
        <v>334</v>
      </c>
      <c r="D20" s="405" t="s">
        <v>118</v>
      </c>
      <c r="E20" s="406"/>
      <c r="F20" s="406"/>
      <c r="G20" s="407"/>
      <c r="H20" s="371" t="s">
        <v>119</v>
      </c>
      <c r="I20" s="371" t="s">
        <v>120</v>
      </c>
      <c r="J20" s="371" t="s">
        <v>335</v>
      </c>
      <c r="K20" s="228"/>
      <c r="M20" s="229">
        <v>169741.17</v>
      </c>
      <c r="N20" s="134" t="s">
        <v>450</v>
      </c>
    </row>
    <row r="21" spans="1:11" ht="19.5" thickBot="1">
      <c r="A21" s="404"/>
      <c r="B21" s="404"/>
      <c r="C21" s="404"/>
      <c r="D21" s="371" t="s">
        <v>121</v>
      </c>
      <c r="E21" s="405" t="s">
        <v>22</v>
      </c>
      <c r="F21" s="406"/>
      <c r="G21" s="407"/>
      <c r="H21" s="404"/>
      <c r="I21" s="404"/>
      <c r="J21" s="404"/>
      <c r="K21" s="228"/>
    </row>
    <row r="22" spans="1:15" ht="59.25" customHeight="1" thickBot="1">
      <c r="A22" s="372"/>
      <c r="B22" s="372"/>
      <c r="C22" s="372"/>
      <c r="D22" s="372"/>
      <c r="E22" s="112" t="s">
        <v>122</v>
      </c>
      <c r="F22" s="112" t="s">
        <v>123</v>
      </c>
      <c r="G22" s="112" t="s">
        <v>124</v>
      </c>
      <c r="H22" s="372"/>
      <c r="I22" s="372"/>
      <c r="J22" s="372"/>
      <c r="K22" s="228"/>
      <c r="M22" s="229">
        <f>J31-M24-M26-M28</f>
        <v>20483208.479999997</v>
      </c>
      <c r="N22" s="229">
        <f>J26-M26</f>
        <v>0</v>
      </c>
      <c r="O22" s="241"/>
    </row>
    <row r="23" spans="1:13" ht="19.5" thickBot="1">
      <c r="A23" s="305">
        <v>1</v>
      </c>
      <c r="B23" s="112">
        <v>2</v>
      </c>
      <c r="C23" s="112">
        <v>3</v>
      </c>
      <c r="D23" s="112">
        <v>4</v>
      </c>
      <c r="E23" s="112">
        <v>5</v>
      </c>
      <c r="F23" s="112">
        <v>6</v>
      </c>
      <c r="G23" s="112">
        <v>7</v>
      </c>
      <c r="H23" s="112">
        <v>8</v>
      </c>
      <c r="I23" s="112">
        <v>9</v>
      </c>
      <c r="J23" s="112">
        <v>10</v>
      </c>
      <c r="K23" s="228"/>
      <c r="M23" s="229"/>
    </row>
    <row r="24" spans="1:16" ht="38.25" customHeight="1" thickBot="1">
      <c r="A24" s="305"/>
      <c r="B24" s="305" t="s">
        <v>286</v>
      </c>
      <c r="C24" s="112">
        <v>4</v>
      </c>
      <c r="D24" s="113">
        <f aca="true" t="shared" si="0" ref="D24:D30">E24+F24+G24</f>
        <v>32732.371794871797</v>
      </c>
      <c r="E24" s="113">
        <f>92672/C24</f>
        <v>23168</v>
      </c>
      <c r="F24" s="113"/>
      <c r="G24" s="113">
        <f>E24*L24+7443.01306089743-9462.64126602563</f>
        <v>9564.371794871799</v>
      </c>
      <c r="H24" s="113"/>
      <c r="I24" s="113">
        <v>1.6</v>
      </c>
      <c r="J24" s="113">
        <f aca="true" t="shared" si="1" ref="J24:J30">((D24*I24)+(D24))*C24*12</f>
        <v>4085000</v>
      </c>
      <c r="K24" s="230"/>
      <c r="L24" s="227">
        <v>0.5</v>
      </c>
      <c r="M24" s="229">
        <f>5085000-1000000</f>
        <v>4085000</v>
      </c>
      <c r="N24" s="294">
        <f>M24-J24</f>
        <v>0</v>
      </c>
      <c r="O24" s="242">
        <f>N24/2.6/12/C24</f>
        <v>0</v>
      </c>
      <c r="P24" s="227">
        <f aca="true" t="shared" si="2" ref="P24:P32">D24*2.6</f>
        <v>85104.16666666667</v>
      </c>
    </row>
    <row r="25" spans="1:16" ht="38.25" customHeight="1" thickBot="1">
      <c r="A25" s="305"/>
      <c r="B25" s="305" t="s">
        <v>460</v>
      </c>
      <c r="C25" s="112">
        <v>37.67</v>
      </c>
      <c r="D25" s="113">
        <f t="shared" si="0"/>
        <v>10371.643140838454</v>
      </c>
      <c r="E25" s="113">
        <f>383317.9844/C25</f>
        <v>10175.683153703212</v>
      </c>
      <c r="F25" s="113"/>
      <c r="G25" s="113">
        <f>E25*L25+E25*0.2+2800.16188396567-4734.98994921588</f>
        <v>195.95998713524205</v>
      </c>
      <c r="H25" s="222"/>
      <c r="I25" s="113">
        <v>1.6</v>
      </c>
      <c r="J25" s="113">
        <f t="shared" si="1"/>
        <v>12189833.669999998</v>
      </c>
      <c r="K25" s="230"/>
      <c r="L25" s="227">
        <f>0.0094</f>
        <v>0.0094</v>
      </c>
      <c r="M25" s="229">
        <f>12189833.67</f>
        <v>12189833.67</v>
      </c>
      <c r="N25" s="294">
        <f>M25-J25</f>
        <v>0</v>
      </c>
      <c r="O25" s="311">
        <f>N25/12/2.6/C25</f>
        <v>0</v>
      </c>
      <c r="P25" s="227">
        <f>D25*2.6</f>
        <v>26966.27216617998</v>
      </c>
    </row>
    <row r="26" spans="1:15" ht="38.25" customHeight="1" thickBot="1">
      <c r="A26" s="305"/>
      <c r="B26" s="305" t="s">
        <v>461</v>
      </c>
      <c r="C26" s="112">
        <v>2.75</v>
      </c>
      <c r="D26" s="113">
        <f>E26+F26+G26</f>
        <v>18139.38752913753</v>
      </c>
      <c r="E26" s="113">
        <f>27554.19/C26</f>
        <v>10019.705454545454</v>
      </c>
      <c r="F26" s="113"/>
      <c r="G26" s="113">
        <f>E26*L26+E26*0.2+1629.20384770163+4392.35190470863</f>
        <v>8119.682074592078</v>
      </c>
      <c r="H26" s="222"/>
      <c r="I26" s="113">
        <v>1.6</v>
      </c>
      <c r="J26" s="113">
        <f t="shared" si="1"/>
        <v>1556359.45</v>
      </c>
      <c r="K26" s="230"/>
      <c r="L26" s="227">
        <f>0.0094</f>
        <v>0.0094</v>
      </c>
      <c r="M26" s="218">
        <v>1556359.45</v>
      </c>
      <c r="N26" s="294">
        <f>M26-J26</f>
        <v>0</v>
      </c>
      <c r="O26" s="242">
        <f>N26/12/2.6/C26</f>
        <v>0</v>
      </c>
    </row>
    <row r="27" spans="1:16" ht="38.25" customHeight="1" thickBot="1">
      <c r="A27" s="223"/>
      <c r="B27" s="305" t="s">
        <v>462</v>
      </c>
      <c r="C27" s="112">
        <v>7.42</v>
      </c>
      <c r="D27" s="113">
        <f t="shared" si="0"/>
        <v>6701.493797228924</v>
      </c>
      <c r="E27" s="113">
        <f>43831.9/C27</f>
        <v>5907.264150943396</v>
      </c>
      <c r="F27" s="113"/>
      <c r="G27" s="113">
        <f>E27*L27+2000-2977.94959899749</f>
        <v>794.2296462855288</v>
      </c>
      <c r="H27" s="113"/>
      <c r="I27" s="113">
        <v>1.6</v>
      </c>
      <c r="J27" s="113">
        <f t="shared" si="1"/>
        <v>1551422.620033685</v>
      </c>
      <c r="K27" s="231"/>
      <c r="L27" s="227">
        <v>0.3</v>
      </c>
      <c r="M27" s="229">
        <f>9293374.81-1000000</f>
        <v>8293374.8100000005</v>
      </c>
      <c r="N27" s="294">
        <f>M27-J27-J29</f>
        <v>0</v>
      </c>
      <c r="O27" s="243">
        <f>N27/12/2.6/C29</f>
        <v>0</v>
      </c>
      <c r="P27" s="227">
        <f>D27*2.6</f>
        <v>17423.883872795202</v>
      </c>
    </row>
    <row r="28" spans="1:15" ht="38.25" customHeight="1" thickBot="1">
      <c r="A28" s="223"/>
      <c r="B28" s="305" t="s">
        <v>463</v>
      </c>
      <c r="C28" s="112">
        <v>2.1</v>
      </c>
      <c r="D28" s="113">
        <f t="shared" si="0"/>
        <v>12998.187812287324</v>
      </c>
      <c r="E28" s="113">
        <f>11919.35/C28</f>
        <v>5675.880952380952</v>
      </c>
      <c r="F28" s="113"/>
      <c r="G28" s="113">
        <f>E28*L28+3200.00000000004+6000+988.029820834297-638.12476190476-5558.9339133089+1628.57142857141</f>
        <v>7322.306859906373</v>
      </c>
      <c r="H28" s="113"/>
      <c r="I28" s="113">
        <v>1.6</v>
      </c>
      <c r="J28" s="113">
        <f t="shared" si="1"/>
        <v>851641.2654610656</v>
      </c>
      <c r="K28" s="231"/>
      <c r="L28" s="227">
        <v>0.3</v>
      </c>
      <c r="M28" s="229">
        <f>2410515.57-757341.35</f>
        <v>1653174.2199999997</v>
      </c>
      <c r="N28" s="294">
        <f>M28-J28-J30</f>
        <v>0</v>
      </c>
      <c r="O28" s="243">
        <f>N28/12/2.6/C28</f>
        <v>0</v>
      </c>
    </row>
    <row r="29" spans="1:19" ht="38.25" customHeight="1" thickBot="1">
      <c r="A29" s="223"/>
      <c r="B29" s="305" t="s">
        <v>464</v>
      </c>
      <c r="C29" s="112">
        <v>46.55</v>
      </c>
      <c r="D29" s="113">
        <f t="shared" si="0"/>
        <v>4642.066836022965</v>
      </c>
      <c r="E29" s="149">
        <f>155703.8/C29</f>
        <v>3344.872180451128</v>
      </c>
      <c r="F29" s="149"/>
      <c r="G29" s="113">
        <f>E29*L29+1793.54025833815-2503.26891103699</f>
        <v>1297.1946555718364</v>
      </c>
      <c r="H29" s="112"/>
      <c r="I29" s="113">
        <v>1.6</v>
      </c>
      <c r="J29" s="113">
        <f t="shared" si="1"/>
        <v>6741952.189966313</v>
      </c>
      <c r="K29" s="232"/>
      <c r="L29" s="227">
        <v>0.6</v>
      </c>
      <c r="M29" s="229"/>
      <c r="N29" s="241"/>
      <c r="P29" s="227">
        <f>D29*2.6</f>
        <v>12069.373773659709</v>
      </c>
      <c r="S29" s="244"/>
    </row>
    <row r="30" spans="1:19" ht="38.25" customHeight="1" thickBot="1">
      <c r="A30" s="223"/>
      <c r="B30" s="305" t="s">
        <v>465</v>
      </c>
      <c r="C30" s="112">
        <v>2.67</v>
      </c>
      <c r="D30" s="113">
        <f t="shared" si="0"/>
        <v>9621.782321844496</v>
      </c>
      <c r="E30" s="149">
        <f>10594.65/C30</f>
        <v>3968.0337078651687</v>
      </c>
      <c r="F30" s="149"/>
      <c r="G30" s="113">
        <f>E30*L30+1012.29945+260.628939260226+400+100+7500-6000</f>
        <v>5653.748613979327</v>
      </c>
      <c r="H30" s="112"/>
      <c r="I30" s="113">
        <v>1.6</v>
      </c>
      <c r="J30" s="113">
        <f t="shared" si="1"/>
        <v>801532.9545389339</v>
      </c>
      <c r="K30" s="232"/>
      <c r="L30" s="227">
        <v>0.6</v>
      </c>
      <c r="M30" s="229"/>
      <c r="N30" s="241"/>
      <c r="P30" s="227">
        <f t="shared" si="2"/>
        <v>25016.63403679569</v>
      </c>
      <c r="S30" s="244"/>
    </row>
    <row r="31" spans="1:16" ht="27" customHeight="1" thickBot="1">
      <c r="A31" s="409" t="s">
        <v>125</v>
      </c>
      <c r="B31" s="410"/>
      <c r="C31" s="141">
        <f>SUM(C24:C30)</f>
        <v>103.16000000000001</v>
      </c>
      <c r="D31" s="142">
        <f>SUM(D24:D30)</f>
        <v>95206.93323223147</v>
      </c>
      <c r="E31" s="142">
        <f>SUM(E24:E30)</f>
        <v>62259.439599889316</v>
      </c>
      <c r="F31" s="142"/>
      <c r="G31" s="142">
        <f>SUM(G24:G30)</f>
        <v>32947.493632342186</v>
      </c>
      <c r="H31" s="226"/>
      <c r="I31" s="226"/>
      <c r="J31" s="142">
        <f>SUM(J24:J30)</f>
        <v>27777742.149999995</v>
      </c>
      <c r="K31" s="233"/>
      <c r="L31" s="229">
        <f>27777742.15-J31</f>
        <v>0</v>
      </c>
      <c r="M31" s="229">
        <f>SUM(M24:M30)</f>
        <v>27777742.15</v>
      </c>
      <c r="P31" s="227">
        <f t="shared" si="2"/>
        <v>247538.02640380184</v>
      </c>
    </row>
    <row r="32" spans="10:16" ht="15">
      <c r="J32" s="218"/>
      <c r="K32" s="229"/>
      <c r="M32" s="234">
        <f>27777742.15-M31</f>
        <v>0</v>
      </c>
      <c r="N32" s="229"/>
      <c r="P32" s="227">
        <f t="shared" si="2"/>
        <v>0</v>
      </c>
    </row>
    <row r="33" spans="13:14" ht="15">
      <c r="M33" s="241"/>
      <c r="N33" s="229"/>
    </row>
    <row r="34" spans="1:14" ht="29.25" customHeight="1">
      <c r="A34" s="408" t="s">
        <v>170</v>
      </c>
      <c r="B34" s="408"/>
      <c r="C34" s="408"/>
      <c r="D34" s="408"/>
      <c r="E34" s="408"/>
      <c r="F34" s="408"/>
      <c r="G34" s="183"/>
      <c r="L34" s="229"/>
      <c r="M34" s="229"/>
      <c r="N34" s="229"/>
    </row>
    <row r="35" spans="12:14" ht="15.75" thickBot="1">
      <c r="L35" s="229"/>
      <c r="M35" s="229"/>
      <c r="N35" s="229"/>
    </row>
    <row r="36" spans="1:14" ht="108" customHeight="1" thickBot="1">
      <c r="A36" s="136" t="s">
        <v>0</v>
      </c>
      <c r="B36" s="309" t="s">
        <v>127</v>
      </c>
      <c r="C36" s="177" t="s">
        <v>128</v>
      </c>
      <c r="D36" s="177" t="s">
        <v>129</v>
      </c>
      <c r="E36" s="177" t="s">
        <v>130</v>
      </c>
      <c r="F36" s="177" t="s">
        <v>396</v>
      </c>
      <c r="L36" s="229"/>
      <c r="M36" s="229"/>
      <c r="N36" s="229"/>
    </row>
    <row r="37" spans="1:15" ht="19.5" thickBot="1">
      <c r="A37" s="305">
        <v>1</v>
      </c>
      <c r="B37" s="112">
        <v>2</v>
      </c>
      <c r="C37" s="112">
        <v>3</v>
      </c>
      <c r="D37" s="112">
        <v>4</v>
      </c>
      <c r="E37" s="112">
        <v>5</v>
      </c>
      <c r="F37" s="112">
        <v>6</v>
      </c>
      <c r="J37" s="218"/>
      <c r="K37" s="229"/>
      <c r="L37" s="134"/>
      <c r="N37" s="229"/>
      <c r="O37" s="229"/>
    </row>
    <row r="38" spans="1:14" ht="57" customHeight="1" thickBot="1">
      <c r="A38" s="305">
        <v>1</v>
      </c>
      <c r="B38" s="112" t="s">
        <v>420</v>
      </c>
      <c r="C38" s="113">
        <v>0</v>
      </c>
      <c r="D38" s="149">
        <v>1</v>
      </c>
      <c r="E38" s="149">
        <v>0</v>
      </c>
      <c r="F38" s="113">
        <f>C38*D38</f>
        <v>0</v>
      </c>
      <c r="L38" s="134"/>
      <c r="N38" s="229"/>
    </row>
    <row r="39" spans="1:14" ht="43.5" customHeight="1" thickBot="1">
      <c r="A39" s="305"/>
      <c r="B39" s="140" t="s">
        <v>125</v>
      </c>
      <c r="C39" s="141" t="s">
        <v>126</v>
      </c>
      <c r="D39" s="141" t="s">
        <v>126</v>
      </c>
      <c r="E39" s="141" t="s">
        <v>126</v>
      </c>
      <c r="F39" s="163">
        <f>F38</f>
        <v>0</v>
      </c>
      <c r="M39" s="235"/>
      <c r="N39" s="229"/>
    </row>
    <row r="40" ht="15">
      <c r="M40" s="229"/>
    </row>
    <row r="41" spans="1:13" ht="18.75">
      <c r="A41" s="408" t="s">
        <v>171</v>
      </c>
      <c r="B41" s="408"/>
      <c r="C41" s="408"/>
      <c r="D41" s="408"/>
      <c r="E41" s="408"/>
      <c r="F41" s="408"/>
      <c r="M41" s="229"/>
    </row>
    <row r="42" ht="15.75" thickBot="1">
      <c r="M42" s="229"/>
    </row>
    <row r="43" spans="1:10" ht="90" customHeight="1" thickBot="1">
      <c r="A43" s="136" t="s">
        <v>0</v>
      </c>
      <c r="B43" s="309" t="s">
        <v>127</v>
      </c>
      <c r="C43" s="177" t="s">
        <v>132</v>
      </c>
      <c r="D43" s="177" t="s">
        <v>133</v>
      </c>
      <c r="E43" s="177" t="s">
        <v>134</v>
      </c>
      <c r="F43" s="177" t="s">
        <v>396</v>
      </c>
      <c r="J43" s="218"/>
    </row>
    <row r="44" spans="1:6" ht="19.5" thickBot="1">
      <c r="A44" s="305">
        <v>1</v>
      </c>
      <c r="B44" s="112">
        <v>2</v>
      </c>
      <c r="C44" s="112">
        <v>3</v>
      </c>
      <c r="D44" s="112">
        <v>4</v>
      </c>
      <c r="E44" s="112">
        <v>5</v>
      </c>
      <c r="F44" s="112">
        <v>6</v>
      </c>
    </row>
    <row r="45" spans="1:6" ht="19.5" thickBot="1">
      <c r="A45" s="305">
        <v>1</v>
      </c>
      <c r="B45" s="112" t="s">
        <v>290</v>
      </c>
      <c r="C45" s="112">
        <v>5</v>
      </c>
      <c r="D45" s="112">
        <v>12</v>
      </c>
      <c r="E45" s="149">
        <v>90</v>
      </c>
      <c r="F45" s="139">
        <f>C45*D45*E45</f>
        <v>5400</v>
      </c>
    </row>
    <row r="46" spans="1:6" ht="39.75" customHeight="1" thickBot="1">
      <c r="A46" s="305"/>
      <c r="B46" s="140" t="s">
        <v>125</v>
      </c>
      <c r="C46" s="141" t="s">
        <v>126</v>
      </c>
      <c r="D46" s="141" t="s">
        <v>126</v>
      </c>
      <c r="E46" s="141" t="s">
        <v>126</v>
      </c>
      <c r="F46" s="142">
        <f>F45</f>
        <v>5400</v>
      </c>
    </row>
    <row r="48" spans="1:7" ht="78.75" customHeight="1" thickBot="1">
      <c r="A48" s="408" t="s">
        <v>172</v>
      </c>
      <c r="B48" s="408"/>
      <c r="C48" s="408"/>
      <c r="D48" s="408"/>
      <c r="E48" s="408"/>
      <c r="F48" s="408"/>
      <c r="G48" s="408"/>
    </row>
    <row r="49" ht="40.5" customHeight="1" hidden="1" thickBot="1"/>
    <row r="50" spans="1:4" ht="106.5" customHeight="1" thickBot="1">
      <c r="A50" s="136" t="s">
        <v>0</v>
      </c>
      <c r="B50" s="177" t="s">
        <v>135</v>
      </c>
      <c r="C50" s="177" t="s">
        <v>136</v>
      </c>
      <c r="D50" s="177" t="s">
        <v>137</v>
      </c>
    </row>
    <row r="51" spans="1:4" ht="19.5" thickBot="1">
      <c r="A51" s="305">
        <v>1</v>
      </c>
      <c r="B51" s="112">
        <v>2</v>
      </c>
      <c r="C51" s="112">
        <v>3</v>
      </c>
      <c r="D51" s="112">
        <v>4</v>
      </c>
    </row>
    <row r="52" spans="1:4" ht="70.5" customHeight="1" thickBot="1">
      <c r="A52" s="305">
        <v>1</v>
      </c>
      <c r="B52" s="150" t="s">
        <v>138</v>
      </c>
      <c r="C52" s="112" t="s">
        <v>126</v>
      </c>
      <c r="D52" s="113">
        <f>D53+D55</f>
        <v>6111103.263699999</v>
      </c>
    </row>
    <row r="53" spans="1:4" ht="18.75">
      <c r="A53" s="371" t="s">
        <v>139</v>
      </c>
      <c r="B53" s="178" t="s">
        <v>22</v>
      </c>
      <c r="C53" s="371"/>
      <c r="D53" s="367">
        <f>8388878.12-D56-D57</f>
        <v>6111103.263699999</v>
      </c>
    </row>
    <row r="54" spans="1:13" ht="30.75" customHeight="1" thickBot="1">
      <c r="A54" s="372"/>
      <c r="B54" s="179" t="s">
        <v>140</v>
      </c>
      <c r="C54" s="372"/>
      <c r="D54" s="368"/>
      <c r="L54" s="413">
        <f>J31*0.302</f>
        <v>8388878.129299998</v>
      </c>
      <c r="M54" s="413"/>
    </row>
    <row r="55" spans="1:4" ht="39.75" customHeight="1" thickBot="1">
      <c r="A55" s="305" t="s">
        <v>141</v>
      </c>
      <c r="B55" s="180" t="s">
        <v>142</v>
      </c>
      <c r="C55" s="112"/>
      <c r="D55" s="113"/>
    </row>
    <row r="56" spans="1:4" ht="71.25" customHeight="1" thickBot="1">
      <c r="A56" s="305">
        <v>2</v>
      </c>
      <c r="B56" s="150" t="s">
        <v>143</v>
      </c>
      <c r="C56" s="112" t="s">
        <v>126</v>
      </c>
      <c r="D56" s="113">
        <f>C57*3.1%</f>
        <v>861110.0066499999</v>
      </c>
    </row>
    <row r="57" spans="1:4" ht="75" customHeight="1" thickBot="1">
      <c r="A57" s="305">
        <v>3</v>
      </c>
      <c r="B57" s="150" t="s">
        <v>144</v>
      </c>
      <c r="C57" s="113">
        <f>J31</f>
        <v>27777742.149999995</v>
      </c>
      <c r="D57" s="113">
        <f>C57*5.1%</f>
        <v>1416664.8496499998</v>
      </c>
    </row>
    <row r="58" spans="1:4" ht="33" customHeight="1" thickBot="1">
      <c r="A58" s="305"/>
      <c r="B58" s="140" t="s">
        <v>125</v>
      </c>
      <c r="C58" s="141" t="s">
        <v>126</v>
      </c>
      <c r="D58" s="163">
        <f>D53+D56+D57</f>
        <v>8388878.12</v>
      </c>
    </row>
    <row r="60" spans="1:6" ht="22.5" customHeight="1">
      <c r="A60" s="408" t="s">
        <v>173</v>
      </c>
      <c r="B60" s="408"/>
      <c r="C60" s="408"/>
      <c r="D60" s="408"/>
      <c r="E60" s="408"/>
      <c r="F60" s="408"/>
    </row>
    <row r="61" ht="5.25" customHeight="1"/>
    <row r="62" spans="1:6" ht="18.75">
      <c r="A62" s="411" t="s">
        <v>174</v>
      </c>
      <c r="B62" s="411"/>
      <c r="C62" s="411"/>
      <c r="D62" s="411"/>
      <c r="E62" s="411"/>
      <c r="F62" s="411"/>
    </row>
    <row r="63" spans="1:6" ht="18.75">
      <c r="A63" s="411" t="s">
        <v>175</v>
      </c>
      <c r="B63" s="411"/>
      <c r="C63" s="411"/>
      <c r="D63" s="411"/>
      <c r="E63" s="411"/>
      <c r="F63" s="411"/>
    </row>
    <row r="64" ht="1.5" customHeight="1" thickBot="1">
      <c r="A64" s="135"/>
    </row>
    <row r="65" spans="1:5" ht="51" customHeight="1" thickBot="1">
      <c r="A65" s="136" t="s">
        <v>0</v>
      </c>
      <c r="B65" s="309" t="s">
        <v>1</v>
      </c>
      <c r="C65" s="177" t="s">
        <v>145</v>
      </c>
      <c r="D65" s="177" t="s">
        <v>146</v>
      </c>
      <c r="E65" s="177" t="s">
        <v>397</v>
      </c>
    </row>
    <row r="66" spans="1:5" ht="19.5" thickBot="1">
      <c r="A66" s="305">
        <v>1</v>
      </c>
      <c r="B66" s="112">
        <v>2</v>
      </c>
      <c r="C66" s="112">
        <v>3</v>
      </c>
      <c r="D66" s="112">
        <v>4</v>
      </c>
      <c r="E66" s="112">
        <v>5</v>
      </c>
    </row>
    <row r="67" spans="1:5" ht="19.5" thickBot="1">
      <c r="A67" s="305"/>
      <c r="B67" s="112"/>
      <c r="C67" s="112"/>
      <c r="D67" s="112"/>
      <c r="E67" s="112"/>
    </row>
    <row r="68" spans="1:5" ht="19.5" thickBot="1">
      <c r="A68" s="305"/>
      <c r="B68" s="140" t="s">
        <v>125</v>
      </c>
      <c r="C68" s="141" t="s">
        <v>126</v>
      </c>
      <c r="D68" s="141" t="s">
        <v>126</v>
      </c>
      <c r="E68" s="141"/>
    </row>
    <row r="71" spans="1:7" ht="18.75">
      <c r="A71" s="402" t="s">
        <v>176</v>
      </c>
      <c r="B71" s="402"/>
      <c r="C71" s="402"/>
      <c r="D71" s="402"/>
      <c r="E71" s="402"/>
      <c r="F71" s="402"/>
      <c r="G71" s="402"/>
    </row>
    <row r="72" ht="13.5" customHeight="1" hidden="1">
      <c r="A72" s="310"/>
    </row>
    <row r="73" ht="18.75" hidden="1">
      <c r="A73" s="135"/>
    </row>
    <row r="74" spans="1:7" ht="18.75">
      <c r="A74" s="411" t="s">
        <v>392</v>
      </c>
      <c r="B74" s="411"/>
      <c r="C74" s="411"/>
      <c r="D74" s="411"/>
      <c r="E74" s="411"/>
      <c r="F74" s="411"/>
      <c r="G74" s="411"/>
    </row>
    <row r="75" spans="1:7" ht="18.75">
      <c r="A75" s="411" t="s">
        <v>292</v>
      </c>
      <c r="B75" s="411"/>
      <c r="C75" s="411"/>
      <c r="D75" s="411"/>
      <c r="E75" s="411"/>
      <c r="F75" s="411"/>
      <c r="G75" s="411"/>
    </row>
    <row r="76" ht="0.75" customHeight="1" thickBot="1">
      <c r="A76" s="135"/>
    </row>
    <row r="77" spans="1:5" ht="106.5" customHeight="1" thickBot="1">
      <c r="A77" s="136" t="s">
        <v>0</v>
      </c>
      <c r="B77" s="177" t="s">
        <v>127</v>
      </c>
      <c r="C77" s="177" t="s">
        <v>148</v>
      </c>
      <c r="D77" s="177" t="s">
        <v>149</v>
      </c>
      <c r="E77" s="177" t="s">
        <v>398</v>
      </c>
    </row>
    <row r="78" spans="1:5" ht="19.5" thickBot="1">
      <c r="A78" s="305">
        <v>1</v>
      </c>
      <c r="B78" s="112">
        <v>2</v>
      </c>
      <c r="C78" s="112">
        <v>3</v>
      </c>
      <c r="D78" s="112">
        <v>4</v>
      </c>
      <c r="E78" s="112">
        <v>5</v>
      </c>
    </row>
    <row r="79" spans="1:24" ht="19.5" thickBot="1">
      <c r="A79" s="305">
        <v>1</v>
      </c>
      <c r="B79" s="112" t="s">
        <v>293</v>
      </c>
      <c r="C79" s="139">
        <v>41220545.454546</v>
      </c>
      <c r="D79" s="139">
        <v>2.2</v>
      </c>
      <c r="E79" s="182">
        <f>(C79*D79)/100</f>
        <v>906852.0000000121</v>
      </c>
      <c r="F79" s="143"/>
      <c r="H79" s="183"/>
      <c r="L79" s="291">
        <f>906852*100/D79</f>
        <v>41220545.45454545</v>
      </c>
      <c r="X79" s="227">
        <f>105614.75/0.022</f>
        <v>4800670.454545455</v>
      </c>
    </row>
    <row r="80" spans="1:12" ht="27" customHeight="1" thickBot="1">
      <c r="A80" s="305">
        <v>2</v>
      </c>
      <c r="B80" s="112" t="s">
        <v>294</v>
      </c>
      <c r="C80" s="139">
        <v>738783.33333333</v>
      </c>
      <c r="D80" s="139">
        <v>1.5</v>
      </c>
      <c r="E80" s="182">
        <f>C80*D80</f>
        <v>1108174.9999999949</v>
      </c>
      <c r="F80" s="143"/>
      <c r="L80" s="292">
        <f>1108175/D80</f>
        <v>738783.3333333334</v>
      </c>
    </row>
    <row r="81" spans="1:5" ht="27" customHeight="1" thickBot="1">
      <c r="A81" s="305">
        <v>3</v>
      </c>
      <c r="B81" s="112" t="s">
        <v>382</v>
      </c>
      <c r="C81" s="139">
        <v>17170</v>
      </c>
      <c r="D81" s="139"/>
      <c r="E81" s="182">
        <f>C81</f>
        <v>17170</v>
      </c>
    </row>
    <row r="82" spans="1:5" ht="27" customHeight="1" hidden="1" thickBot="1">
      <c r="A82" s="305">
        <v>4</v>
      </c>
      <c r="B82" s="112" t="s">
        <v>437</v>
      </c>
      <c r="C82" s="139"/>
      <c r="D82" s="139"/>
      <c r="E82" s="182"/>
    </row>
    <row r="83" spans="1:5" ht="27" customHeight="1" hidden="1" thickBot="1">
      <c r="A83" s="305">
        <v>4</v>
      </c>
      <c r="B83" s="112" t="s">
        <v>358</v>
      </c>
      <c r="C83" s="139"/>
      <c r="D83" s="139"/>
      <c r="E83" s="182"/>
    </row>
    <row r="84" spans="1:5" ht="19.5" thickBot="1">
      <c r="A84" s="305"/>
      <c r="B84" s="140" t="s">
        <v>125</v>
      </c>
      <c r="C84" s="142"/>
      <c r="D84" s="142" t="s">
        <v>126</v>
      </c>
      <c r="E84" s="142">
        <f>SUM(E79:E83)</f>
        <v>2032197.000000007</v>
      </c>
    </row>
    <row r="86" spans="1:5" ht="18.75">
      <c r="A86" s="402" t="s">
        <v>295</v>
      </c>
      <c r="B86" s="402"/>
      <c r="C86" s="402"/>
      <c r="D86" s="402"/>
      <c r="E86" s="402"/>
    </row>
    <row r="87" ht="7.5" customHeight="1">
      <c r="A87" s="310"/>
    </row>
    <row r="88" ht="18.75">
      <c r="A88" s="184" t="s">
        <v>345</v>
      </c>
    </row>
    <row r="89" spans="1:7" ht="18.75">
      <c r="A89" s="308" t="s">
        <v>292</v>
      </c>
      <c r="B89" s="308"/>
      <c r="C89" s="308"/>
      <c r="D89" s="308"/>
      <c r="E89" s="308"/>
      <c r="F89" s="308"/>
      <c r="G89" s="308"/>
    </row>
    <row r="90" ht="18.75">
      <c r="A90" s="184"/>
    </row>
    <row r="91" spans="1:6" ht="18.75" customHeight="1" thickBot="1">
      <c r="A91" s="402" t="s">
        <v>297</v>
      </c>
      <c r="B91" s="402"/>
      <c r="C91" s="402"/>
      <c r="D91" s="402"/>
      <c r="E91" s="402"/>
      <c r="F91" s="402"/>
    </row>
    <row r="92" ht="15.75" hidden="1" thickBot="1"/>
    <row r="93" spans="1:6" ht="38.25" thickBot="1">
      <c r="A93" s="136" t="s">
        <v>0</v>
      </c>
      <c r="B93" s="309" t="s">
        <v>127</v>
      </c>
      <c r="C93" s="309" t="s">
        <v>151</v>
      </c>
      <c r="D93" s="309" t="s">
        <v>152</v>
      </c>
      <c r="E93" s="309" t="s">
        <v>153</v>
      </c>
      <c r="F93" s="309" t="s">
        <v>131</v>
      </c>
    </row>
    <row r="94" spans="1:6" ht="19.5" thickBot="1">
      <c r="A94" s="305">
        <v>1</v>
      </c>
      <c r="B94" s="112">
        <v>2</v>
      </c>
      <c r="C94" s="112">
        <v>3</v>
      </c>
      <c r="D94" s="112">
        <v>4</v>
      </c>
      <c r="E94" s="112">
        <v>5</v>
      </c>
      <c r="F94" s="112">
        <v>6</v>
      </c>
    </row>
    <row r="95" spans="1:12" ht="25.5" customHeight="1" thickBot="1">
      <c r="A95" s="305">
        <v>1</v>
      </c>
      <c r="B95" s="112" t="s">
        <v>298</v>
      </c>
      <c r="C95" s="112">
        <v>1</v>
      </c>
      <c r="D95" s="112">
        <v>12</v>
      </c>
      <c r="E95" s="182">
        <v>4933.333</v>
      </c>
      <c r="F95" s="182">
        <f>E95*D95</f>
        <v>59199.996</v>
      </c>
      <c r="G95" s="143"/>
      <c r="L95" s="318">
        <f>F95/D95</f>
        <v>4933.333</v>
      </c>
    </row>
    <row r="96" spans="1:6" ht="25.5" customHeight="1" hidden="1" thickBot="1">
      <c r="A96" s="305">
        <v>2</v>
      </c>
      <c r="B96" s="112" t="s">
        <v>385</v>
      </c>
      <c r="C96" s="112"/>
      <c r="D96" s="112"/>
      <c r="E96" s="182"/>
      <c r="F96" s="182">
        <f>E96*D96</f>
        <v>0</v>
      </c>
    </row>
    <row r="97" spans="1:6" ht="19.5" thickBot="1">
      <c r="A97" s="305"/>
      <c r="B97" s="140" t="s">
        <v>125</v>
      </c>
      <c r="C97" s="141" t="s">
        <v>126</v>
      </c>
      <c r="D97" s="141" t="s">
        <v>126</v>
      </c>
      <c r="E97" s="141" t="s">
        <v>126</v>
      </c>
      <c r="F97" s="142">
        <f>SUM(F95:F96)</f>
        <v>59199.996</v>
      </c>
    </row>
    <row r="99" spans="1:6" ht="24" customHeight="1">
      <c r="A99" s="402" t="s">
        <v>299</v>
      </c>
      <c r="B99" s="402"/>
      <c r="C99" s="402"/>
      <c r="D99" s="402"/>
      <c r="E99" s="402"/>
      <c r="F99" s="402"/>
    </row>
    <row r="100" ht="15.75" thickBot="1"/>
    <row r="101" spans="1:5" ht="57" thickBot="1">
      <c r="A101" s="136" t="s">
        <v>0</v>
      </c>
      <c r="B101" s="309" t="s">
        <v>127</v>
      </c>
      <c r="C101" s="309" t="s">
        <v>154</v>
      </c>
      <c r="D101" s="309" t="s">
        <v>155</v>
      </c>
      <c r="E101" s="309" t="s">
        <v>156</v>
      </c>
    </row>
    <row r="102" spans="1:5" ht="19.5" thickBot="1">
      <c r="A102" s="305">
        <v>1</v>
      </c>
      <c r="B102" s="112">
        <v>2</v>
      </c>
      <c r="C102" s="112">
        <v>3</v>
      </c>
      <c r="D102" s="112">
        <v>4</v>
      </c>
      <c r="E102" s="112">
        <v>5</v>
      </c>
    </row>
    <row r="103" spans="1:5" ht="19.5" thickBot="1">
      <c r="A103" s="305"/>
      <c r="B103" s="112" t="s">
        <v>451</v>
      </c>
      <c r="C103" s="113">
        <v>0</v>
      </c>
      <c r="D103" s="113">
        <v>0</v>
      </c>
      <c r="E103" s="113">
        <f>C103*D103</f>
        <v>0</v>
      </c>
    </row>
    <row r="104" spans="1:5" ht="19.5" thickBot="1">
      <c r="A104" s="305"/>
      <c r="B104" s="185" t="s">
        <v>125</v>
      </c>
      <c r="C104" s="287">
        <f>C103</f>
        <v>0</v>
      </c>
      <c r="D104" s="287">
        <f>D103</f>
        <v>0</v>
      </c>
      <c r="E104" s="287">
        <f>E103</f>
        <v>0</v>
      </c>
    </row>
    <row r="106" spans="1:6" ht="18.75">
      <c r="A106" s="402" t="s">
        <v>300</v>
      </c>
      <c r="B106" s="402"/>
      <c r="C106" s="402"/>
      <c r="D106" s="402"/>
      <c r="E106" s="402"/>
      <c r="F106" s="402"/>
    </row>
    <row r="107" ht="15.75" thickBot="1"/>
    <row r="108" spans="1:7" ht="57" thickBot="1">
      <c r="A108" s="136" t="s">
        <v>0</v>
      </c>
      <c r="B108" s="309" t="s">
        <v>1</v>
      </c>
      <c r="C108" s="309" t="s">
        <v>301</v>
      </c>
      <c r="D108" s="309" t="s">
        <v>302</v>
      </c>
      <c r="E108" s="309" t="s">
        <v>157</v>
      </c>
      <c r="F108" s="309" t="s">
        <v>158</v>
      </c>
      <c r="G108" s="309" t="s">
        <v>159</v>
      </c>
    </row>
    <row r="109" spans="1:7" ht="19.5" thickBot="1">
      <c r="A109" s="305">
        <v>1</v>
      </c>
      <c r="B109" s="112">
        <v>2</v>
      </c>
      <c r="C109" s="112">
        <v>3</v>
      </c>
      <c r="D109" s="112">
        <v>4</v>
      </c>
      <c r="E109" s="112">
        <v>5</v>
      </c>
      <c r="F109" s="112">
        <v>6</v>
      </c>
      <c r="G109" s="112">
        <v>7</v>
      </c>
    </row>
    <row r="110" spans="1:14" ht="22.5" customHeight="1" thickBot="1">
      <c r="A110" s="305">
        <v>1</v>
      </c>
      <c r="B110" s="305" t="s">
        <v>303</v>
      </c>
      <c r="C110" s="149" t="s">
        <v>304</v>
      </c>
      <c r="D110" s="149">
        <v>577.85</v>
      </c>
      <c r="E110" s="149">
        <v>6481.405728130137</v>
      </c>
      <c r="F110" s="112"/>
      <c r="G110" s="186">
        <f aca="true" t="shared" si="3" ref="G110:G115">E110*D110</f>
        <v>3745280.2999999993</v>
      </c>
      <c r="H110" s="270"/>
      <c r="I110" s="206">
        <f aca="true" t="shared" si="4" ref="I110:I115">H110*1000</f>
        <v>0</v>
      </c>
      <c r="J110" s="206">
        <f aca="true" t="shared" si="5" ref="J110:J115">I110/D110</f>
        <v>0</v>
      </c>
      <c r="K110" s="237"/>
      <c r="L110" s="229">
        <f>'[1]тепло'!$B$65</f>
        <v>577.85</v>
      </c>
      <c r="M110" s="227">
        <f>'[1]тепло'!$E$65*1000</f>
        <v>3745280.3</v>
      </c>
      <c r="N110" s="227">
        <f aca="true" t="shared" si="6" ref="N110:N115">M110/D110</f>
        <v>6481.405728130137</v>
      </c>
    </row>
    <row r="111" spans="1:14" ht="22.5" customHeight="1" thickBot="1">
      <c r="A111" s="305">
        <v>2</v>
      </c>
      <c r="B111" s="305" t="s">
        <v>305</v>
      </c>
      <c r="C111" s="149" t="s">
        <v>304</v>
      </c>
      <c r="D111" s="149">
        <v>35.19</v>
      </c>
      <c r="E111" s="149">
        <v>6529.577436771811</v>
      </c>
      <c r="F111" s="112"/>
      <c r="G111" s="186">
        <f t="shared" si="3"/>
        <v>229775.83000000002</v>
      </c>
      <c r="H111" s="270"/>
      <c r="I111" s="206">
        <f t="shared" si="4"/>
        <v>0</v>
      </c>
      <c r="J111" s="206">
        <f t="shared" si="5"/>
        <v>0</v>
      </c>
      <c r="L111" s="227">
        <f>'[1]Тепло для ГВС'!$B$65</f>
        <v>35.19</v>
      </c>
      <c r="M111" s="227">
        <f>'[1]Тепло для ГВС'!$E$65*1000</f>
        <v>229775.83000000002</v>
      </c>
      <c r="N111" s="227">
        <f t="shared" si="6"/>
        <v>6529.577436771811</v>
      </c>
    </row>
    <row r="112" spans="1:14" ht="22.5" customHeight="1" thickBot="1">
      <c r="A112" s="305">
        <v>3</v>
      </c>
      <c r="B112" s="305" t="s">
        <v>306</v>
      </c>
      <c r="C112" s="149" t="s">
        <v>331</v>
      </c>
      <c r="D112" s="149">
        <v>108629</v>
      </c>
      <c r="E112" s="149">
        <v>5.565600162019351</v>
      </c>
      <c r="F112" s="112"/>
      <c r="G112" s="186">
        <f t="shared" si="3"/>
        <v>604585.5800000001</v>
      </c>
      <c r="H112" s="270"/>
      <c r="I112" s="206">
        <f t="shared" si="4"/>
        <v>0</v>
      </c>
      <c r="J112" s="206">
        <f t="shared" si="5"/>
        <v>0</v>
      </c>
      <c r="L112" s="227">
        <f>'[1]электро'!$B$65*1000</f>
        <v>108629</v>
      </c>
      <c r="M112" s="227">
        <f>'[1]электро'!$E$65*1000</f>
        <v>604585.5800000001</v>
      </c>
      <c r="N112" s="227">
        <f t="shared" si="6"/>
        <v>5.565600162019351</v>
      </c>
    </row>
    <row r="113" spans="1:14" ht="22.5" customHeight="1" thickBot="1">
      <c r="A113" s="305">
        <v>4</v>
      </c>
      <c r="B113" s="305" t="s">
        <v>307</v>
      </c>
      <c r="C113" s="149" t="s">
        <v>308</v>
      </c>
      <c r="D113" s="149">
        <v>1497</v>
      </c>
      <c r="E113" s="149">
        <v>51.67499665998664</v>
      </c>
      <c r="F113" s="112"/>
      <c r="G113" s="186">
        <f t="shared" si="3"/>
        <v>77357.47</v>
      </c>
      <c r="H113" s="271"/>
      <c r="I113" s="206">
        <f t="shared" si="4"/>
        <v>0</v>
      </c>
      <c r="J113" s="206">
        <f t="shared" si="5"/>
        <v>0</v>
      </c>
      <c r="L113" s="227">
        <f>'[1]ХВС'!$B$65</f>
        <v>1497</v>
      </c>
      <c r="M113" s="227">
        <f>'[1]ХВС'!$E$65*1000</f>
        <v>77357.47</v>
      </c>
      <c r="N113" s="227">
        <f t="shared" si="6"/>
        <v>51.67499665998664</v>
      </c>
    </row>
    <row r="114" spans="1:14" ht="22.5" customHeight="1" thickBot="1">
      <c r="A114" s="305">
        <v>5</v>
      </c>
      <c r="B114" s="305" t="s">
        <v>309</v>
      </c>
      <c r="C114" s="149" t="s">
        <v>308</v>
      </c>
      <c r="D114" s="149">
        <v>2065.2799999999997</v>
      </c>
      <c r="E114" s="149">
        <v>38.809919236132636</v>
      </c>
      <c r="F114" s="112"/>
      <c r="G114" s="186">
        <f t="shared" si="3"/>
        <v>80153.35</v>
      </c>
      <c r="H114" s="270"/>
      <c r="I114" s="206">
        <f t="shared" si="4"/>
        <v>0</v>
      </c>
      <c r="J114" s="206">
        <f t="shared" si="5"/>
        <v>0</v>
      </c>
      <c r="L114" s="229">
        <f>'[1]канал'!$B$65</f>
        <v>2065.2799999999997</v>
      </c>
      <c r="M114" s="227">
        <f>'[1]канал'!$E$65*1000</f>
        <v>80153.35</v>
      </c>
      <c r="N114" s="227">
        <f t="shared" si="6"/>
        <v>38.809919236132636</v>
      </c>
    </row>
    <row r="115" spans="1:14" ht="22.5" customHeight="1" thickBot="1">
      <c r="A115" s="305">
        <v>6</v>
      </c>
      <c r="B115" s="305" t="s">
        <v>310</v>
      </c>
      <c r="C115" s="149" t="s">
        <v>308</v>
      </c>
      <c r="D115" s="149">
        <v>568.28</v>
      </c>
      <c r="E115" s="149">
        <v>51.674385866122336</v>
      </c>
      <c r="F115" s="112"/>
      <c r="G115" s="186">
        <f t="shared" si="3"/>
        <v>29365.52</v>
      </c>
      <c r="H115" s="270"/>
      <c r="I115" s="206">
        <f t="shared" si="4"/>
        <v>0</v>
      </c>
      <c r="J115" s="206">
        <f t="shared" si="5"/>
        <v>0</v>
      </c>
      <c r="L115" s="229">
        <f>'[1]ХВС для ГВС'!$B$65</f>
        <v>568.28</v>
      </c>
      <c r="M115" s="227">
        <f>'[1]ХВС для ГВС'!$E$65*1000</f>
        <v>29365.52</v>
      </c>
      <c r="N115" s="227">
        <f t="shared" si="6"/>
        <v>51.674385866122336</v>
      </c>
    </row>
    <row r="116" spans="1:13" ht="19.5" thickBot="1">
      <c r="A116" s="305"/>
      <c r="B116" s="140" t="s">
        <v>125</v>
      </c>
      <c r="C116" s="141" t="s">
        <v>126</v>
      </c>
      <c r="D116" s="141" t="s">
        <v>126</v>
      </c>
      <c r="E116" s="141" t="s">
        <v>126</v>
      </c>
      <c r="F116" s="141" t="s">
        <v>126</v>
      </c>
      <c r="G116" s="209">
        <f>G115+G114+G113+G112+G111+G110</f>
        <v>4766518.05</v>
      </c>
      <c r="H116" s="270"/>
      <c r="M116" s="227">
        <f>SUM(M110:M115)</f>
        <v>4766518.049999999</v>
      </c>
    </row>
    <row r="118" spans="1:6" ht="18.75" customHeight="1" thickBot="1">
      <c r="A118" s="402" t="s">
        <v>311</v>
      </c>
      <c r="B118" s="402"/>
      <c r="C118" s="402"/>
      <c r="D118" s="402"/>
      <c r="E118" s="402"/>
      <c r="F118" s="184"/>
    </row>
    <row r="119" ht="15.75" hidden="1" thickBot="1"/>
    <row r="120" spans="1:5" ht="57" thickBot="1">
      <c r="A120" s="136" t="s">
        <v>0</v>
      </c>
      <c r="B120" s="309" t="s">
        <v>1</v>
      </c>
      <c r="C120" s="309" t="s">
        <v>160</v>
      </c>
      <c r="D120" s="309" t="s">
        <v>161</v>
      </c>
      <c r="E120" s="309" t="s">
        <v>162</v>
      </c>
    </row>
    <row r="121" spans="1:5" ht="19.5" thickBot="1">
      <c r="A121" s="305">
        <v>1</v>
      </c>
      <c r="B121" s="112">
        <v>2</v>
      </c>
      <c r="C121" s="112">
        <v>3</v>
      </c>
      <c r="D121" s="112">
        <v>4</v>
      </c>
      <c r="E121" s="112">
        <v>5</v>
      </c>
    </row>
    <row r="122" spans="1:5" ht="19.5" thickBot="1">
      <c r="A122" s="305"/>
      <c r="B122" s="112"/>
      <c r="C122" s="112"/>
      <c r="D122" s="112"/>
      <c r="E122" s="112"/>
    </row>
    <row r="123" spans="1:5" ht="19.5" thickBot="1">
      <c r="A123" s="305"/>
      <c r="B123" s="187" t="s">
        <v>125</v>
      </c>
      <c r="C123" s="112" t="s">
        <v>126</v>
      </c>
      <c r="D123" s="112" t="s">
        <v>126</v>
      </c>
      <c r="E123" s="112" t="s">
        <v>126</v>
      </c>
    </row>
    <row r="125" spans="1:5" ht="31.5" customHeight="1">
      <c r="A125" s="408" t="s">
        <v>312</v>
      </c>
      <c r="B125" s="408"/>
      <c r="C125" s="408"/>
      <c r="D125" s="408"/>
      <c r="E125" s="408"/>
    </row>
    <row r="126" ht="19.5" thickBot="1">
      <c r="A126" s="135"/>
    </row>
    <row r="127" spans="1:5" ht="57" thickBot="1">
      <c r="A127" s="136" t="s">
        <v>0</v>
      </c>
      <c r="B127" s="309" t="s">
        <v>127</v>
      </c>
      <c r="C127" s="309" t="s">
        <v>163</v>
      </c>
      <c r="D127" s="309" t="s">
        <v>164</v>
      </c>
      <c r="E127" s="309" t="s">
        <v>165</v>
      </c>
    </row>
    <row r="128" spans="1:5" ht="19.5" thickBot="1">
      <c r="A128" s="305">
        <v>1</v>
      </c>
      <c r="B128" s="112">
        <v>2</v>
      </c>
      <c r="C128" s="112">
        <v>3</v>
      </c>
      <c r="D128" s="112">
        <v>4</v>
      </c>
      <c r="E128" s="112">
        <v>5</v>
      </c>
    </row>
    <row r="129" spans="1:5" ht="24" customHeight="1" thickBot="1">
      <c r="A129" s="305">
        <v>1</v>
      </c>
      <c r="B129" s="138" t="s">
        <v>313</v>
      </c>
      <c r="C129" s="112"/>
      <c r="D129" s="112">
        <v>12</v>
      </c>
      <c r="E129" s="139">
        <v>53514.06</v>
      </c>
    </row>
    <row r="130" spans="1:5" ht="24" customHeight="1" thickBot="1">
      <c r="A130" s="305">
        <v>2</v>
      </c>
      <c r="B130" s="138" t="s">
        <v>314</v>
      </c>
      <c r="C130" s="112"/>
      <c r="D130" s="112">
        <v>12</v>
      </c>
      <c r="E130" s="139">
        <v>110460</v>
      </c>
    </row>
    <row r="131" spans="1:5" ht="35.25" customHeight="1" thickBot="1">
      <c r="A131" s="305">
        <v>3</v>
      </c>
      <c r="B131" s="138" t="s">
        <v>329</v>
      </c>
      <c r="C131" s="112"/>
      <c r="D131" s="112">
        <v>12</v>
      </c>
      <c r="E131" s="139">
        <v>156000</v>
      </c>
    </row>
    <row r="132" spans="1:5" ht="24" customHeight="1" thickBot="1">
      <c r="A132" s="305">
        <v>4</v>
      </c>
      <c r="B132" s="138" t="s">
        <v>315</v>
      </c>
      <c r="C132" s="112"/>
      <c r="D132" s="112">
        <v>12</v>
      </c>
      <c r="E132" s="139">
        <v>53956.79</v>
      </c>
    </row>
    <row r="133" spans="1:5" ht="24" customHeight="1" thickBot="1">
      <c r="A133" s="305">
        <v>5</v>
      </c>
      <c r="B133" s="138" t="s">
        <v>346</v>
      </c>
      <c r="C133" s="112"/>
      <c r="D133" s="112">
        <v>12</v>
      </c>
      <c r="E133" s="139">
        <v>16752.84</v>
      </c>
    </row>
    <row r="134" spans="1:5" ht="36.75" customHeight="1" thickBot="1">
      <c r="A134" s="305">
        <v>6</v>
      </c>
      <c r="B134" s="138" t="s">
        <v>316</v>
      </c>
      <c r="C134" s="112"/>
      <c r="D134" s="112">
        <v>12</v>
      </c>
      <c r="E134" s="139">
        <v>60000</v>
      </c>
    </row>
    <row r="135" spans="1:5" ht="36.75" customHeight="1" thickBot="1">
      <c r="A135" s="316">
        <v>7</v>
      </c>
      <c r="B135" s="138" t="s">
        <v>467</v>
      </c>
      <c r="C135" s="112"/>
      <c r="D135" s="112"/>
      <c r="E135" s="139">
        <v>120000</v>
      </c>
    </row>
    <row r="136" spans="1:5" ht="24" customHeight="1" thickBot="1">
      <c r="A136" s="316">
        <v>8</v>
      </c>
      <c r="B136" s="138" t="s">
        <v>317</v>
      </c>
      <c r="C136" s="112"/>
      <c r="D136" s="112">
        <v>1</v>
      </c>
      <c r="E136" s="139">
        <v>550000</v>
      </c>
    </row>
    <row r="137" spans="1:5" ht="57" hidden="1" thickBot="1">
      <c r="A137" s="316">
        <v>9</v>
      </c>
      <c r="B137" s="138" t="s">
        <v>452</v>
      </c>
      <c r="C137" s="112"/>
      <c r="D137" s="112"/>
      <c r="E137" s="139"/>
    </row>
    <row r="138" spans="1:5" ht="24" customHeight="1" hidden="1" thickBot="1">
      <c r="A138" s="316">
        <v>10</v>
      </c>
      <c r="B138" s="138" t="s">
        <v>318</v>
      </c>
      <c r="C138" s="112"/>
      <c r="D138" s="112"/>
      <c r="E138" s="139"/>
    </row>
    <row r="139" spans="1:5" ht="24" customHeight="1" hidden="1" thickBot="1">
      <c r="A139" s="316">
        <v>11</v>
      </c>
      <c r="B139" s="138" t="s">
        <v>319</v>
      </c>
      <c r="C139" s="112"/>
      <c r="D139" s="112"/>
      <c r="E139" s="139"/>
    </row>
    <row r="140" spans="1:5" ht="24" customHeight="1" thickBot="1">
      <c r="A140" s="316">
        <v>9</v>
      </c>
      <c r="B140" s="138" t="s">
        <v>320</v>
      </c>
      <c r="C140" s="112"/>
      <c r="D140" s="112">
        <v>1</v>
      </c>
      <c r="E140" s="139">
        <v>23296.71</v>
      </c>
    </row>
    <row r="141" spans="1:5" ht="24" customHeight="1" hidden="1" thickBot="1">
      <c r="A141" s="316">
        <v>13</v>
      </c>
      <c r="B141" s="138" t="s">
        <v>383</v>
      </c>
      <c r="C141" s="112"/>
      <c r="D141" s="112"/>
      <c r="E141" s="139"/>
    </row>
    <row r="142" spans="1:6" ht="42.75" customHeight="1" hidden="1" thickBot="1">
      <c r="A142" s="316">
        <v>14</v>
      </c>
      <c r="B142" s="138" t="s">
        <v>453</v>
      </c>
      <c r="C142" s="112"/>
      <c r="D142" s="112"/>
      <c r="E142" s="139"/>
      <c r="F142" s="207"/>
    </row>
    <row r="143" spans="1:5" ht="24" customHeight="1" thickBot="1">
      <c r="A143" s="316">
        <v>10</v>
      </c>
      <c r="B143" s="138" t="s">
        <v>468</v>
      </c>
      <c r="C143" s="112"/>
      <c r="D143" s="112">
        <v>12</v>
      </c>
      <c r="E143" s="139">
        <v>60000</v>
      </c>
    </row>
    <row r="144" spans="1:5" ht="24" customHeight="1" thickBot="1">
      <c r="A144" s="316">
        <v>11</v>
      </c>
      <c r="B144" s="138" t="s">
        <v>454</v>
      </c>
      <c r="C144" s="112"/>
      <c r="D144" s="112">
        <v>1</v>
      </c>
      <c r="E144" s="139">
        <f>2111150.73+5600</f>
        <v>2116750.73</v>
      </c>
    </row>
    <row r="145" spans="1:5" ht="19.5" customHeight="1" hidden="1" thickBot="1">
      <c r="A145" s="305">
        <v>16</v>
      </c>
      <c r="B145" s="138" t="s">
        <v>408</v>
      </c>
      <c r="C145" s="112"/>
      <c r="D145" s="112">
        <v>4</v>
      </c>
      <c r="E145" s="139"/>
    </row>
    <row r="146" spans="1:5" ht="24" customHeight="1" hidden="1" thickBot="1">
      <c r="A146" s="305">
        <v>16</v>
      </c>
      <c r="B146" s="138" t="s">
        <v>409</v>
      </c>
      <c r="C146" s="112"/>
      <c r="D146" s="112">
        <v>1</v>
      </c>
      <c r="E146" s="139"/>
    </row>
    <row r="147" spans="1:5" ht="19.5" customHeight="1" hidden="1" thickBot="1">
      <c r="A147" s="305">
        <v>18</v>
      </c>
      <c r="B147" s="138" t="s">
        <v>410</v>
      </c>
      <c r="C147" s="112"/>
      <c r="D147" s="112">
        <v>6</v>
      </c>
      <c r="E147" s="139"/>
    </row>
    <row r="148" spans="1:5" ht="19.5" customHeight="1" hidden="1" thickBot="1">
      <c r="A148" s="305">
        <v>19</v>
      </c>
      <c r="B148" s="138" t="s">
        <v>427</v>
      </c>
      <c r="C148" s="112"/>
      <c r="D148" s="112"/>
      <c r="E148" s="139"/>
    </row>
    <row r="149" spans="1:5" ht="19.5" customHeight="1" hidden="1" thickBot="1">
      <c r="A149" s="305">
        <v>20</v>
      </c>
      <c r="B149" s="138" t="s">
        <v>428</v>
      </c>
      <c r="C149" s="112"/>
      <c r="D149" s="112"/>
      <c r="E149" s="139"/>
    </row>
    <row r="150" spans="1:5" ht="19.5" customHeight="1" hidden="1" thickBot="1">
      <c r="A150" s="305">
        <v>21</v>
      </c>
      <c r="B150" s="138" t="s">
        <v>429</v>
      </c>
      <c r="C150" s="112"/>
      <c r="D150" s="112"/>
      <c r="E150" s="139"/>
    </row>
    <row r="151" spans="1:5" ht="19.5" customHeight="1" hidden="1" thickBot="1">
      <c r="A151" s="305">
        <v>22</v>
      </c>
      <c r="B151" s="138" t="s">
        <v>430</v>
      </c>
      <c r="C151" s="112"/>
      <c r="D151" s="112"/>
      <c r="E151" s="139"/>
    </row>
    <row r="152" spans="1:5" ht="24" customHeight="1" hidden="1" thickBot="1">
      <c r="A152" s="305">
        <v>17</v>
      </c>
      <c r="B152" s="138" t="s">
        <v>347</v>
      </c>
      <c r="C152" s="112"/>
      <c r="D152" s="112"/>
      <c r="E152" s="139"/>
    </row>
    <row r="153" spans="1:13" ht="19.5" thickBot="1">
      <c r="A153" s="305"/>
      <c r="B153" s="140" t="s">
        <v>125</v>
      </c>
      <c r="C153" s="141" t="s">
        <v>126</v>
      </c>
      <c r="D153" s="141" t="s">
        <v>126</v>
      </c>
      <c r="E153" s="142">
        <f>SUM(E129:E152)</f>
        <v>3320731.13</v>
      </c>
      <c r="F153" s="143"/>
      <c r="L153" s="286"/>
      <c r="M153" s="236"/>
    </row>
    <row r="155" spans="1:5" ht="27.75" customHeight="1">
      <c r="A155" s="408" t="s">
        <v>321</v>
      </c>
      <c r="B155" s="408"/>
      <c r="C155" s="408"/>
      <c r="D155" s="408"/>
      <c r="E155" s="408"/>
    </row>
    <row r="156" ht="8.25" customHeight="1" thickBot="1">
      <c r="A156" s="135"/>
    </row>
    <row r="157" spans="1:4" ht="38.25" thickBot="1">
      <c r="A157" s="136" t="s">
        <v>0</v>
      </c>
      <c r="B157" s="309" t="s">
        <v>127</v>
      </c>
      <c r="C157" s="309" t="s">
        <v>166</v>
      </c>
      <c r="D157" s="309" t="s">
        <v>167</v>
      </c>
    </row>
    <row r="158" spans="1:4" ht="19.5" thickBot="1">
      <c r="A158" s="305">
        <v>1</v>
      </c>
      <c r="B158" s="112">
        <v>2</v>
      </c>
      <c r="C158" s="112">
        <v>3</v>
      </c>
      <c r="D158" s="112">
        <v>4</v>
      </c>
    </row>
    <row r="159" spans="1:24" ht="22.5" customHeight="1" thickBot="1">
      <c r="A159" s="305">
        <v>1</v>
      </c>
      <c r="B159" s="138" t="s">
        <v>322</v>
      </c>
      <c r="C159" s="112">
        <v>1</v>
      </c>
      <c r="D159" s="139">
        <v>150121.92</v>
      </c>
      <c r="K159" s="134"/>
      <c r="L159" s="134"/>
      <c r="M159" s="134"/>
      <c r="N159" s="134"/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</row>
    <row r="160" spans="1:24" ht="22.5" customHeight="1" hidden="1" thickBot="1">
      <c r="A160" s="305">
        <v>2</v>
      </c>
      <c r="B160" s="138" t="s">
        <v>384</v>
      </c>
      <c r="C160" s="112"/>
      <c r="D160" s="139"/>
      <c r="K160" s="134"/>
      <c r="L160" s="134"/>
      <c r="M160" s="134"/>
      <c r="N160" s="134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</row>
    <row r="161" spans="1:24" ht="22.5" customHeight="1" thickBot="1">
      <c r="A161" s="316">
        <v>2</v>
      </c>
      <c r="B161" s="138" t="s">
        <v>422</v>
      </c>
      <c r="C161" s="112"/>
      <c r="D161" s="139">
        <v>73000</v>
      </c>
      <c r="K161" s="134"/>
      <c r="L161" s="134"/>
      <c r="M161" s="134"/>
      <c r="N161" s="134"/>
      <c r="O161" s="134"/>
      <c r="P161" s="134"/>
      <c r="Q161" s="134"/>
      <c r="R161" s="134"/>
      <c r="S161" s="134"/>
      <c r="T161" s="134"/>
      <c r="U161" s="134"/>
      <c r="V161" s="134"/>
      <c r="W161" s="134"/>
      <c r="X161" s="134"/>
    </row>
    <row r="162" spans="1:24" ht="22.5" customHeight="1" thickBot="1">
      <c r="A162" s="316">
        <v>3</v>
      </c>
      <c r="B162" s="138" t="s">
        <v>323</v>
      </c>
      <c r="C162" s="112"/>
      <c r="D162" s="139">
        <v>405937</v>
      </c>
      <c r="K162" s="134"/>
      <c r="L162" s="134"/>
      <c r="M162" s="134"/>
      <c r="N162" s="134"/>
      <c r="O162" s="134"/>
      <c r="P162" s="134"/>
      <c r="Q162" s="134"/>
      <c r="R162" s="134"/>
      <c r="S162" s="134"/>
      <c r="T162" s="134"/>
      <c r="U162" s="134"/>
      <c r="V162" s="134"/>
      <c r="W162" s="134"/>
      <c r="X162" s="134"/>
    </row>
    <row r="163" spans="1:24" ht="22.5" customHeight="1" thickBot="1">
      <c r="A163" s="316">
        <v>4</v>
      </c>
      <c r="B163" s="138" t="s">
        <v>348</v>
      </c>
      <c r="C163" s="112"/>
      <c r="D163" s="139">
        <f>98450.43+27962</f>
        <v>126412.43</v>
      </c>
      <c r="K163" s="134"/>
      <c r="L163" s="134"/>
      <c r="M163" s="134"/>
      <c r="N163" s="134"/>
      <c r="O163" s="134"/>
      <c r="P163" s="134"/>
      <c r="Q163" s="134"/>
      <c r="R163" s="134"/>
      <c r="S163" s="134"/>
      <c r="T163" s="134"/>
      <c r="U163" s="134"/>
      <c r="V163" s="134"/>
      <c r="W163" s="134"/>
      <c r="X163" s="134"/>
    </row>
    <row r="164" spans="1:24" ht="22.5" customHeight="1" hidden="1" thickBot="1">
      <c r="A164" s="316">
        <v>6</v>
      </c>
      <c r="B164" s="138" t="s">
        <v>388</v>
      </c>
      <c r="C164" s="112"/>
      <c r="D164" s="139"/>
      <c r="K164" s="134"/>
      <c r="L164" s="134"/>
      <c r="M164" s="134"/>
      <c r="N164" s="134"/>
      <c r="O164" s="134"/>
      <c r="P164" s="134"/>
      <c r="Q164" s="134"/>
      <c r="R164" s="134"/>
      <c r="S164" s="134"/>
      <c r="T164" s="134"/>
      <c r="U164" s="134"/>
      <c r="V164" s="134"/>
      <c r="W164" s="134"/>
      <c r="X164" s="134"/>
    </row>
    <row r="165" spans="1:24" ht="22.5" customHeight="1" thickBot="1">
      <c r="A165" s="316">
        <v>5</v>
      </c>
      <c r="B165" s="138" t="s">
        <v>395</v>
      </c>
      <c r="C165" s="112"/>
      <c r="D165" s="139">
        <v>201833</v>
      </c>
      <c r="K165" s="134"/>
      <c r="L165" s="134"/>
      <c r="M165" s="134"/>
      <c r="N165" s="134"/>
      <c r="O165" s="134"/>
      <c r="P165" s="134"/>
      <c r="Q165" s="134"/>
      <c r="R165" s="134"/>
      <c r="S165" s="134"/>
      <c r="T165" s="134"/>
      <c r="U165" s="134"/>
      <c r="V165" s="134"/>
      <c r="W165" s="134"/>
      <c r="X165" s="134"/>
    </row>
    <row r="166" spans="1:24" ht="22.5" customHeight="1" hidden="1" thickBot="1">
      <c r="A166" s="316">
        <v>8</v>
      </c>
      <c r="B166" s="138" t="s">
        <v>409</v>
      </c>
      <c r="C166" s="112"/>
      <c r="D166" s="139"/>
      <c r="K166" s="134"/>
      <c r="L166" s="134"/>
      <c r="M166" s="134"/>
      <c r="N166" s="134"/>
      <c r="O166" s="134"/>
      <c r="P166" s="134"/>
      <c r="Q166" s="134"/>
      <c r="R166" s="134"/>
      <c r="S166" s="134"/>
      <c r="T166" s="134"/>
      <c r="U166" s="134"/>
      <c r="V166" s="134"/>
      <c r="W166" s="134"/>
      <c r="X166" s="134"/>
    </row>
    <row r="167" spans="1:24" ht="22.5" customHeight="1" hidden="1" thickBot="1">
      <c r="A167" s="316">
        <v>9</v>
      </c>
      <c r="B167" s="138" t="s">
        <v>420</v>
      </c>
      <c r="C167" s="112"/>
      <c r="D167" s="139"/>
      <c r="K167" s="134"/>
      <c r="L167" s="134"/>
      <c r="M167" s="134"/>
      <c r="N167" s="134"/>
      <c r="O167" s="134"/>
      <c r="P167" s="134"/>
      <c r="Q167" s="134"/>
      <c r="R167" s="134"/>
      <c r="S167" s="134"/>
      <c r="T167" s="134"/>
      <c r="U167" s="134"/>
      <c r="V167" s="134"/>
      <c r="W167" s="134"/>
      <c r="X167" s="134"/>
    </row>
    <row r="168" spans="1:24" ht="19.5" thickBot="1">
      <c r="A168" s="305"/>
      <c r="B168" s="140" t="s">
        <v>125</v>
      </c>
      <c r="C168" s="141" t="s">
        <v>126</v>
      </c>
      <c r="D168" s="142">
        <f>SUM(D159:D167)</f>
        <v>957304.3500000001</v>
      </c>
      <c r="E168" s="143"/>
      <c r="K168" s="134"/>
      <c r="L168" s="134"/>
      <c r="M168" s="134"/>
      <c r="N168" s="134"/>
      <c r="O168" s="134"/>
      <c r="P168" s="134"/>
      <c r="Q168" s="134"/>
      <c r="R168" s="134"/>
      <c r="S168" s="134"/>
      <c r="T168" s="134"/>
      <c r="U168" s="134"/>
      <c r="V168" s="134"/>
      <c r="W168" s="134"/>
      <c r="X168" s="134"/>
    </row>
    <row r="170" spans="1:6" ht="26.25" customHeight="1">
      <c r="A170" s="408" t="s">
        <v>324</v>
      </c>
      <c r="B170" s="408"/>
      <c r="C170" s="408"/>
      <c r="D170" s="408"/>
      <c r="E170" s="408"/>
      <c r="F170" s="408"/>
    </row>
    <row r="171" ht="15.75" thickBot="1"/>
    <row r="172" spans="1:5" ht="57" thickBot="1">
      <c r="A172" s="136" t="s">
        <v>0</v>
      </c>
      <c r="B172" s="309" t="s">
        <v>127</v>
      </c>
      <c r="C172" s="309" t="s">
        <v>160</v>
      </c>
      <c r="D172" s="309" t="s">
        <v>168</v>
      </c>
      <c r="E172" s="309" t="s">
        <v>169</v>
      </c>
    </row>
    <row r="173" spans="1:5" ht="19.5" thickBot="1">
      <c r="A173" s="305"/>
      <c r="B173" s="112">
        <v>1</v>
      </c>
      <c r="C173" s="112">
        <v>2</v>
      </c>
      <c r="D173" s="112">
        <v>3</v>
      </c>
      <c r="E173" s="112">
        <v>4</v>
      </c>
    </row>
    <row r="174" spans="1:24" ht="54.75" customHeight="1" thickBot="1">
      <c r="A174" s="305">
        <v>1</v>
      </c>
      <c r="B174" s="138" t="s">
        <v>325</v>
      </c>
      <c r="C174" s="112"/>
      <c r="D174" s="139">
        <v>90297.6</v>
      </c>
      <c r="E174" s="139">
        <f>D174</f>
        <v>90297.6</v>
      </c>
      <c r="K174" s="134"/>
      <c r="L174" s="134"/>
      <c r="M174" s="134"/>
      <c r="N174" s="134"/>
      <c r="O174" s="134"/>
      <c r="P174" s="134"/>
      <c r="Q174" s="134"/>
      <c r="R174" s="134"/>
      <c r="S174" s="134"/>
      <c r="T174" s="134"/>
      <c r="U174" s="134"/>
      <c r="V174" s="134"/>
      <c r="W174" s="134"/>
      <c r="X174" s="134"/>
    </row>
    <row r="175" spans="1:24" ht="30" customHeight="1" hidden="1" thickBot="1">
      <c r="A175" s="305">
        <v>1</v>
      </c>
      <c r="B175" s="138" t="s">
        <v>325</v>
      </c>
      <c r="C175" s="112"/>
      <c r="D175" s="139">
        <f>E175</f>
        <v>0</v>
      </c>
      <c r="E175" s="139">
        <v>0</v>
      </c>
      <c r="K175" s="134"/>
      <c r="L175" s="134"/>
      <c r="M175" s="134"/>
      <c r="N175" s="134"/>
      <c r="O175" s="134"/>
      <c r="P175" s="134"/>
      <c r="Q175" s="134"/>
      <c r="R175" s="134"/>
      <c r="S175" s="134"/>
      <c r="T175" s="134"/>
      <c r="U175" s="134"/>
      <c r="V175" s="134"/>
      <c r="W175" s="134"/>
      <c r="X175" s="134"/>
    </row>
    <row r="176" spans="1:24" ht="46.5" customHeight="1" hidden="1" thickBot="1">
      <c r="A176" s="305">
        <v>2</v>
      </c>
      <c r="B176" s="138" t="s">
        <v>332</v>
      </c>
      <c r="C176" s="112"/>
      <c r="D176" s="139">
        <f>E176</f>
        <v>0</v>
      </c>
      <c r="E176" s="139">
        <v>0</v>
      </c>
      <c r="K176" s="134"/>
      <c r="L176" s="134"/>
      <c r="M176" s="134"/>
      <c r="N176" s="134"/>
      <c r="O176" s="134"/>
      <c r="P176" s="134"/>
      <c r="Q176" s="134"/>
      <c r="R176" s="134"/>
      <c r="S176" s="134"/>
      <c r="T176" s="134"/>
      <c r="U176" s="134"/>
      <c r="V176" s="134"/>
      <c r="W176" s="134"/>
      <c r="X176" s="134"/>
    </row>
    <row r="177" spans="1:24" ht="30" customHeight="1" thickBot="1">
      <c r="A177" s="304"/>
      <c r="B177" s="188" t="s">
        <v>336</v>
      </c>
      <c r="C177" s="141"/>
      <c r="D177" s="142"/>
      <c r="E177" s="142">
        <f>SUM(E174)</f>
        <v>90297.6</v>
      </c>
      <c r="K177" s="134"/>
      <c r="L177" s="134"/>
      <c r="M177" s="134"/>
      <c r="N177" s="134"/>
      <c r="O177" s="134"/>
      <c r="P177" s="134"/>
      <c r="Q177" s="134"/>
      <c r="R177" s="134"/>
      <c r="S177" s="134"/>
      <c r="T177" s="134"/>
      <c r="U177" s="134"/>
      <c r="V177" s="134"/>
      <c r="W177" s="134"/>
      <c r="X177" s="134"/>
    </row>
    <row r="178" spans="1:24" ht="28.5" customHeight="1" thickBot="1">
      <c r="A178" s="305">
        <v>1</v>
      </c>
      <c r="B178" s="138" t="s">
        <v>326</v>
      </c>
      <c r="C178" s="112"/>
      <c r="D178" s="139">
        <f>E178</f>
        <v>511931.6</v>
      </c>
      <c r="E178" s="139">
        <f>300000+211931.6</f>
        <v>511931.6</v>
      </c>
      <c r="K178" s="134"/>
      <c r="L178" s="134"/>
      <c r="M178" s="134"/>
      <c r="N178" s="134"/>
      <c r="O178" s="134"/>
      <c r="P178" s="134"/>
      <c r="Q178" s="134"/>
      <c r="R178" s="134"/>
      <c r="S178" s="134"/>
      <c r="T178" s="134"/>
      <c r="U178" s="134"/>
      <c r="V178" s="134"/>
      <c r="W178" s="134"/>
      <c r="X178" s="134"/>
    </row>
    <row r="179" spans="1:24" ht="27" customHeight="1" hidden="1" thickBot="1">
      <c r="A179" s="305"/>
      <c r="B179" s="138" t="s">
        <v>390</v>
      </c>
      <c r="C179" s="112"/>
      <c r="D179" s="139">
        <f>E179</f>
        <v>0</v>
      </c>
      <c r="E179" s="139"/>
      <c r="K179" s="134"/>
      <c r="L179" s="134"/>
      <c r="M179" s="134"/>
      <c r="N179" s="134"/>
      <c r="O179" s="134"/>
      <c r="P179" s="134"/>
      <c r="Q179" s="134"/>
      <c r="R179" s="134"/>
      <c r="S179" s="134"/>
      <c r="T179" s="134"/>
      <c r="U179" s="134"/>
      <c r="V179" s="134"/>
      <c r="W179" s="134"/>
      <c r="X179" s="134"/>
    </row>
    <row r="180" spans="1:24" ht="28.5" customHeight="1" thickBot="1">
      <c r="A180" s="305">
        <v>2</v>
      </c>
      <c r="B180" s="138" t="s">
        <v>386</v>
      </c>
      <c r="C180" s="112"/>
      <c r="D180" s="139">
        <f>E180</f>
        <v>30000</v>
      </c>
      <c r="E180" s="139">
        <v>30000</v>
      </c>
      <c r="K180" s="134"/>
      <c r="L180" s="134"/>
      <c r="M180" s="134"/>
      <c r="N180" s="134"/>
      <c r="O180" s="134"/>
      <c r="P180" s="134"/>
      <c r="Q180" s="134"/>
      <c r="R180" s="134"/>
      <c r="S180" s="134"/>
      <c r="T180" s="134"/>
      <c r="U180" s="134"/>
      <c r="V180" s="134"/>
      <c r="W180" s="134"/>
      <c r="X180" s="134"/>
    </row>
    <row r="181" spans="1:24" ht="49.5" customHeight="1" thickBot="1">
      <c r="A181" s="305">
        <v>3</v>
      </c>
      <c r="B181" s="138" t="s">
        <v>333</v>
      </c>
      <c r="C181" s="112"/>
      <c r="D181" s="139">
        <f>E181</f>
        <v>1500900</v>
      </c>
      <c r="E181" s="139">
        <v>1500900</v>
      </c>
      <c r="K181" s="134"/>
      <c r="L181" s="134"/>
      <c r="M181" s="134"/>
      <c r="N181" s="134"/>
      <c r="O181" s="134"/>
      <c r="P181" s="134"/>
      <c r="Q181" s="134"/>
      <c r="R181" s="134"/>
      <c r="S181" s="134"/>
      <c r="T181" s="134"/>
      <c r="U181" s="134"/>
      <c r="V181" s="134"/>
      <c r="W181" s="134"/>
      <c r="X181" s="134"/>
    </row>
    <row r="182" spans="1:24" ht="27.75" customHeight="1" thickBot="1">
      <c r="A182" s="304"/>
      <c r="B182" s="188" t="s">
        <v>327</v>
      </c>
      <c r="C182" s="141"/>
      <c r="D182" s="142"/>
      <c r="E182" s="142">
        <f>SUM(E178:E181)</f>
        <v>2042831.6</v>
      </c>
      <c r="K182" s="134"/>
      <c r="L182" s="134"/>
      <c r="M182" s="134"/>
      <c r="N182" s="134"/>
      <c r="O182" s="134"/>
      <c r="P182" s="134"/>
      <c r="Q182" s="134"/>
      <c r="R182" s="134"/>
      <c r="S182" s="134"/>
      <c r="T182" s="134"/>
      <c r="U182" s="134"/>
      <c r="V182" s="134"/>
      <c r="W182" s="134"/>
      <c r="X182" s="134"/>
    </row>
    <row r="183" spans="1:8" ht="27.75" customHeight="1">
      <c r="A183" s="134" t="s">
        <v>413</v>
      </c>
      <c r="B183" s="109" t="s">
        <v>425</v>
      </c>
      <c r="C183" s="412" t="s">
        <v>426</v>
      </c>
      <c r="D183" s="412"/>
      <c r="G183" s="143"/>
      <c r="H183" s="143"/>
    </row>
    <row r="184" spans="5:8" ht="15">
      <c r="E184" s="143"/>
      <c r="G184" s="143"/>
      <c r="H184" s="143"/>
    </row>
    <row r="185" ht="15">
      <c r="E185" s="143">
        <f>E182+E177+D168+E153+G116+E104+F97+E84+D58+F46+F39+J31</f>
        <v>49441099.99600001</v>
      </c>
    </row>
    <row r="186" spans="10:11" ht="15">
      <c r="J186" s="218"/>
      <c r="K186" s="229"/>
    </row>
    <row r="188" ht="15">
      <c r="E188" s="143"/>
    </row>
  </sheetData>
  <sheetProtection/>
  <mergeCells count="37">
    <mergeCell ref="C183:D183"/>
    <mergeCell ref="L54:M54"/>
    <mergeCell ref="A170:F170"/>
    <mergeCell ref="A91:F91"/>
    <mergeCell ref="A99:F99"/>
    <mergeCell ref="A106:F106"/>
    <mergeCell ref="A118:E118"/>
    <mergeCell ref="A125:E125"/>
    <mergeCell ref="A155:E155"/>
    <mergeCell ref="A62:F62"/>
    <mergeCell ref="A63:F63"/>
    <mergeCell ref="A71:G71"/>
    <mergeCell ref="A74:G74"/>
    <mergeCell ref="A75:G75"/>
    <mergeCell ref="A86:E86"/>
    <mergeCell ref="A41:F41"/>
    <mergeCell ref="A53:A54"/>
    <mergeCell ref="C53:C54"/>
    <mergeCell ref="D53:D54"/>
    <mergeCell ref="A60:F60"/>
    <mergeCell ref="A48:G48"/>
    <mergeCell ref="I20:I22"/>
    <mergeCell ref="J20:J22"/>
    <mergeCell ref="D21:D22"/>
    <mergeCell ref="E21:G21"/>
    <mergeCell ref="A31:B31"/>
    <mergeCell ref="A34:F34"/>
    <mergeCell ref="A11:J11"/>
    <mergeCell ref="A13:J13"/>
    <mergeCell ref="A15:J15"/>
    <mergeCell ref="A16:J16"/>
    <mergeCell ref="A18:J18"/>
    <mergeCell ref="A20:A22"/>
    <mergeCell ref="B20:B22"/>
    <mergeCell ref="C20:C22"/>
    <mergeCell ref="D20:G20"/>
    <mergeCell ref="H20:H2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X185"/>
  <sheetViews>
    <sheetView view="pageBreakPreview" zoomScale="60" zoomScaleNormal="60" zoomScalePageLayoutView="0" workbookViewId="0" topLeftCell="A162">
      <selection activeCell="I34" sqref="I34"/>
    </sheetView>
  </sheetViews>
  <sheetFormatPr defaultColWidth="9.140625" defaultRowHeight="15"/>
  <cols>
    <col min="1" max="1" width="5.421875" style="134" customWidth="1"/>
    <col min="2" max="2" width="48.28125" style="134" customWidth="1"/>
    <col min="3" max="3" width="21.421875" style="134" customWidth="1"/>
    <col min="4" max="4" width="19.421875" style="134" customWidth="1"/>
    <col min="5" max="5" width="23.28125" style="134" customWidth="1"/>
    <col min="6" max="6" width="18.57421875" style="134" customWidth="1"/>
    <col min="7" max="7" width="21.140625" style="134" customWidth="1"/>
    <col min="8" max="8" width="17.57421875" style="134" customWidth="1"/>
    <col min="9" max="9" width="16.421875" style="134" customWidth="1"/>
    <col min="10" max="10" width="21.140625" style="134" customWidth="1"/>
    <col min="11" max="11" width="9.7109375" style="134" bestFit="1" customWidth="1"/>
    <col min="12" max="12" width="25.8515625" style="134" customWidth="1"/>
    <col min="13" max="13" width="22.28125" style="134" customWidth="1"/>
    <col min="14" max="14" width="25.28125" style="134" customWidth="1"/>
    <col min="15" max="15" width="30.28125" style="134" customWidth="1"/>
    <col min="16" max="17" width="9.140625" style="134" customWidth="1"/>
    <col min="18" max="18" width="13.7109375" style="134" bestFit="1" customWidth="1"/>
    <col min="19" max="19" width="13.421875" style="134" bestFit="1" customWidth="1"/>
    <col min="20" max="16384" width="9.140625" style="134" customWidth="1"/>
  </cols>
  <sheetData>
    <row r="1" ht="18.75">
      <c r="J1" s="219" t="s">
        <v>107</v>
      </c>
    </row>
    <row r="2" ht="18.75">
      <c r="J2" s="219" t="s">
        <v>108</v>
      </c>
    </row>
    <row r="3" ht="16.5">
      <c r="J3" s="220" t="s">
        <v>109</v>
      </c>
    </row>
    <row r="4" ht="16.5">
      <c r="J4" s="220" t="s">
        <v>110</v>
      </c>
    </row>
    <row r="5" ht="16.5">
      <c r="J5" s="220" t="s">
        <v>111</v>
      </c>
    </row>
    <row r="6" ht="16.5">
      <c r="J6" s="220" t="s">
        <v>112</v>
      </c>
    </row>
    <row r="7" ht="16.5">
      <c r="J7" s="220" t="s">
        <v>113</v>
      </c>
    </row>
    <row r="8" ht="16.5">
      <c r="J8" s="220" t="s">
        <v>114</v>
      </c>
    </row>
    <row r="11" spans="1:10" ht="15" customHeight="1">
      <c r="A11" s="402" t="s">
        <v>418</v>
      </c>
      <c r="B11" s="402"/>
      <c r="C11" s="402"/>
      <c r="D11" s="402"/>
      <c r="E11" s="402"/>
      <c r="F11" s="402"/>
      <c r="G11" s="402"/>
      <c r="H11" s="402"/>
      <c r="I11" s="402"/>
      <c r="J11" s="402"/>
    </row>
    <row r="12" spans="1:10" ht="18.75">
      <c r="A12" s="221" t="s">
        <v>413</v>
      </c>
      <c r="B12" s="221"/>
      <c r="C12" s="307"/>
      <c r="D12" s="221"/>
      <c r="E12" s="221"/>
      <c r="F12" s="221"/>
      <c r="G12" s="221"/>
      <c r="H12" s="221"/>
      <c r="I12" s="221"/>
      <c r="J12" s="221"/>
    </row>
    <row r="13" spans="1:10" ht="18.75">
      <c r="A13" s="402" t="s">
        <v>115</v>
      </c>
      <c r="B13" s="402"/>
      <c r="C13" s="402"/>
      <c r="D13" s="402"/>
      <c r="E13" s="402"/>
      <c r="F13" s="402"/>
      <c r="G13" s="402"/>
      <c r="H13" s="402"/>
      <c r="I13" s="402"/>
      <c r="J13" s="402"/>
    </row>
    <row r="14" spans="1:10" ht="15">
      <c r="A14" s="221"/>
      <c r="B14" s="221"/>
      <c r="C14" s="221"/>
      <c r="D14" s="221"/>
      <c r="E14" s="221"/>
      <c r="F14" s="221"/>
      <c r="G14" s="221"/>
      <c r="H14" s="221"/>
      <c r="I14" s="221"/>
      <c r="J14" s="221"/>
    </row>
    <row r="15" spans="1:10" ht="18.75">
      <c r="A15" s="403" t="s">
        <v>284</v>
      </c>
      <c r="B15" s="403"/>
      <c r="C15" s="403"/>
      <c r="D15" s="403"/>
      <c r="E15" s="403"/>
      <c r="F15" s="403"/>
      <c r="G15" s="403"/>
      <c r="H15" s="403"/>
      <c r="I15" s="403"/>
      <c r="J15" s="403"/>
    </row>
    <row r="16" spans="1:10" ht="21" customHeight="1">
      <c r="A16" s="403" t="s">
        <v>285</v>
      </c>
      <c r="B16" s="403"/>
      <c r="C16" s="403"/>
      <c r="D16" s="403"/>
      <c r="E16" s="403"/>
      <c r="F16" s="403"/>
      <c r="G16" s="403"/>
      <c r="H16" s="403"/>
      <c r="I16" s="403"/>
      <c r="J16" s="403"/>
    </row>
    <row r="17" ht="18.75">
      <c r="A17" s="184"/>
    </row>
    <row r="18" spans="1:10" ht="18.75">
      <c r="A18" s="402" t="s">
        <v>116</v>
      </c>
      <c r="B18" s="402"/>
      <c r="C18" s="402"/>
      <c r="D18" s="402"/>
      <c r="E18" s="402"/>
      <c r="F18" s="402"/>
      <c r="G18" s="402"/>
      <c r="H18" s="402"/>
      <c r="I18" s="402"/>
      <c r="J18" s="402"/>
    </row>
    <row r="19" ht="15.75" thickBot="1"/>
    <row r="20" spans="1:21" ht="36" customHeight="1" thickBot="1">
      <c r="A20" s="371" t="s">
        <v>0</v>
      </c>
      <c r="B20" s="371" t="s">
        <v>117</v>
      </c>
      <c r="C20" s="371" t="s">
        <v>334</v>
      </c>
      <c r="D20" s="405" t="s">
        <v>118</v>
      </c>
      <c r="E20" s="406"/>
      <c r="F20" s="406"/>
      <c r="G20" s="407"/>
      <c r="H20" s="371" t="s">
        <v>119</v>
      </c>
      <c r="I20" s="371" t="s">
        <v>120</v>
      </c>
      <c r="J20" s="371" t="s">
        <v>335</v>
      </c>
      <c r="K20" s="270"/>
      <c r="L20" s="271"/>
      <c r="M20" s="270"/>
      <c r="N20" s="270"/>
      <c r="O20" s="270"/>
      <c r="P20" s="270"/>
      <c r="Q20" s="270"/>
      <c r="R20" s="270"/>
      <c r="S20" s="270"/>
      <c r="T20" s="270"/>
      <c r="U20" s="270"/>
    </row>
    <row r="21" spans="1:21" ht="19.5" thickBot="1">
      <c r="A21" s="404"/>
      <c r="B21" s="404"/>
      <c r="C21" s="404"/>
      <c r="D21" s="371" t="s">
        <v>121</v>
      </c>
      <c r="E21" s="405" t="s">
        <v>22</v>
      </c>
      <c r="F21" s="406"/>
      <c r="G21" s="407"/>
      <c r="H21" s="404"/>
      <c r="I21" s="404"/>
      <c r="J21" s="404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</row>
    <row r="22" spans="1:21" ht="109.5" customHeight="1" thickBot="1">
      <c r="A22" s="372"/>
      <c r="B22" s="372"/>
      <c r="C22" s="372"/>
      <c r="D22" s="372"/>
      <c r="E22" s="112" t="s">
        <v>122</v>
      </c>
      <c r="F22" s="112" t="s">
        <v>123</v>
      </c>
      <c r="G22" s="112" t="s">
        <v>124</v>
      </c>
      <c r="H22" s="372"/>
      <c r="I22" s="372"/>
      <c r="J22" s="372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</row>
    <row r="23" spans="1:21" ht="19.5" thickBot="1">
      <c r="A23" s="305">
        <v>1</v>
      </c>
      <c r="B23" s="112">
        <v>2</v>
      </c>
      <c r="C23" s="112">
        <v>3</v>
      </c>
      <c r="D23" s="112">
        <v>4</v>
      </c>
      <c r="E23" s="112">
        <v>5</v>
      </c>
      <c r="F23" s="112">
        <v>6</v>
      </c>
      <c r="G23" s="112">
        <v>7</v>
      </c>
      <c r="H23" s="112">
        <v>8</v>
      </c>
      <c r="I23" s="112">
        <v>9</v>
      </c>
      <c r="J23" s="112">
        <v>10</v>
      </c>
      <c r="K23" s="270"/>
      <c r="L23" s="271"/>
      <c r="M23" s="270"/>
      <c r="N23" s="270"/>
      <c r="O23" s="270"/>
      <c r="P23" s="270"/>
      <c r="Q23" s="270"/>
      <c r="R23" s="270"/>
      <c r="S23" s="270"/>
      <c r="T23" s="270"/>
      <c r="U23" s="270"/>
    </row>
    <row r="24" spans="1:24" ht="38.25" customHeight="1" thickBot="1">
      <c r="A24" s="305"/>
      <c r="B24" s="305" t="s">
        <v>286</v>
      </c>
      <c r="C24" s="112">
        <v>4</v>
      </c>
      <c r="D24" s="113">
        <f aca="true" t="shared" si="0" ref="D24:D29">E24+F24+G24</f>
        <v>40745.19230769231</v>
      </c>
      <c r="E24" s="113">
        <f>92672/C24</f>
        <v>23168</v>
      </c>
      <c r="F24" s="113"/>
      <c r="G24" s="113">
        <f>E24*L24+7443.01306089743-1449.82075320512</f>
        <v>17577.19230769231</v>
      </c>
      <c r="H24" s="113"/>
      <c r="I24" s="113">
        <v>1.6</v>
      </c>
      <c r="J24" s="113">
        <f aca="true" t="shared" si="1" ref="J24:J30">((D24*I24)+(D24))*C24*12</f>
        <v>5085000.000000001</v>
      </c>
      <c r="K24" s="230"/>
      <c r="L24" s="227">
        <v>0.5</v>
      </c>
      <c r="M24" s="229">
        <f>5085000</f>
        <v>5085000</v>
      </c>
      <c r="N24" s="294">
        <f>M24-J24</f>
        <v>0</v>
      </c>
      <c r="O24" s="242">
        <f>N24/2.6/12/C24</f>
        <v>0</v>
      </c>
      <c r="P24" s="227">
        <f aca="true" t="shared" si="2" ref="P24:P29">D24*2.6</f>
        <v>105937.50000000001</v>
      </c>
      <c r="Q24" s="227"/>
      <c r="R24" s="227"/>
      <c r="S24" s="227"/>
      <c r="T24" s="227"/>
      <c r="U24" s="227"/>
      <c r="V24" s="227"/>
      <c r="W24" s="227"/>
      <c r="X24" s="227"/>
    </row>
    <row r="25" spans="1:24" ht="38.25" customHeight="1" thickBot="1">
      <c r="A25" s="305"/>
      <c r="B25" s="305" t="s">
        <v>460</v>
      </c>
      <c r="C25" s="112">
        <v>37.67</v>
      </c>
      <c r="D25" s="113">
        <f t="shared" si="0"/>
        <v>14625.861623886245</v>
      </c>
      <c r="E25" s="113">
        <f>383317.9844/C25</f>
        <v>10175.683153703212</v>
      </c>
      <c r="F25" s="113"/>
      <c r="G25" s="113">
        <f>E25*L25+E25*0.2+2800.16188396567-480.77146616809</f>
        <v>4450.178470183032</v>
      </c>
      <c r="H25" s="222"/>
      <c r="I25" s="113">
        <v>1.6</v>
      </c>
      <c r="J25" s="113">
        <f t="shared" si="1"/>
        <v>17189833.67</v>
      </c>
      <c r="K25" s="230"/>
      <c r="L25" s="227">
        <f>0.0094</f>
        <v>0.0094</v>
      </c>
      <c r="M25" s="229">
        <f>12189833.67+5000000</f>
        <v>17189833.67</v>
      </c>
      <c r="N25" s="294">
        <f>M25-J25</f>
        <v>0</v>
      </c>
      <c r="O25" s="311">
        <f>N25/12/2.6/C25</f>
        <v>0</v>
      </c>
      <c r="P25" s="227">
        <f t="shared" si="2"/>
        <v>38027.240222104236</v>
      </c>
      <c r="Q25" s="227"/>
      <c r="R25" s="227"/>
      <c r="S25" s="227"/>
      <c r="T25" s="227"/>
      <c r="U25" s="227"/>
      <c r="V25" s="227"/>
      <c r="W25" s="227"/>
      <c r="X25" s="227"/>
    </row>
    <row r="26" spans="1:24" ht="38.25" customHeight="1" thickBot="1">
      <c r="A26" s="305"/>
      <c r="B26" s="305" t="s">
        <v>461</v>
      </c>
      <c r="C26" s="112">
        <v>2.75</v>
      </c>
      <c r="D26" s="113">
        <f>E26+F26+G26</f>
        <v>18139.38752913753</v>
      </c>
      <c r="E26" s="113">
        <f>27554.19/C26</f>
        <v>10019.705454545454</v>
      </c>
      <c r="F26" s="113"/>
      <c r="G26" s="113">
        <f>E26*L26+E26*0.2+1629.20384770163+4392.35190470863</f>
        <v>8119.682074592078</v>
      </c>
      <c r="H26" s="222"/>
      <c r="I26" s="113">
        <v>1.6</v>
      </c>
      <c r="J26" s="113">
        <f t="shared" si="1"/>
        <v>1556359.45</v>
      </c>
      <c r="K26" s="231"/>
      <c r="L26" s="227">
        <f>0.0094</f>
        <v>0.0094</v>
      </c>
      <c r="M26" s="218">
        <f>1556359.45</f>
        <v>1556359.45</v>
      </c>
      <c r="N26" s="294">
        <f>M26-J26</f>
        <v>0</v>
      </c>
      <c r="O26" s="242">
        <f>N26/12/2.6/C26</f>
        <v>0</v>
      </c>
      <c r="P26" s="227">
        <f t="shared" si="2"/>
        <v>47162.40757575758</v>
      </c>
      <c r="Q26" s="227"/>
      <c r="R26" s="227"/>
      <c r="S26" s="227"/>
      <c r="T26" s="227"/>
      <c r="U26" s="227"/>
      <c r="V26" s="227"/>
      <c r="W26" s="227"/>
      <c r="X26" s="227"/>
    </row>
    <row r="27" spans="1:24" ht="38.25" customHeight="1" thickBot="1">
      <c r="A27" s="223"/>
      <c r="B27" s="305" t="s">
        <v>462</v>
      </c>
      <c r="C27" s="112">
        <v>7.42</v>
      </c>
      <c r="D27" s="113">
        <f t="shared" si="0"/>
        <v>10025.144365958442</v>
      </c>
      <c r="E27" s="113">
        <f>43831.9/C27</f>
        <v>5907.264150943396</v>
      </c>
      <c r="F27" s="113"/>
      <c r="G27" s="113">
        <f>E27*L27+2000+345.700969732027</f>
        <v>4117.880215015046</v>
      </c>
      <c r="H27" s="113"/>
      <c r="I27" s="113">
        <v>1.6</v>
      </c>
      <c r="J27" s="113">
        <f t="shared" si="1"/>
        <v>2320861.0212968434</v>
      </c>
      <c r="K27" s="232"/>
      <c r="L27" s="227">
        <v>0.3</v>
      </c>
      <c r="M27" s="229">
        <f>9293374.81+3000000+827137.14</f>
        <v>13120511.950000001</v>
      </c>
      <c r="N27" s="294">
        <f>M27-J27-J29</f>
        <v>0</v>
      </c>
      <c r="O27" s="243">
        <f>N27/12/2.6/C29</f>
        <v>0</v>
      </c>
      <c r="P27" s="227">
        <f t="shared" si="2"/>
        <v>26065.37535149195</v>
      </c>
      <c r="Q27" s="227"/>
      <c r="R27" s="227"/>
      <c r="S27" s="244"/>
      <c r="T27" s="227"/>
      <c r="U27" s="227"/>
      <c r="V27" s="227"/>
      <c r="W27" s="227"/>
      <c r="X27" s="227"/>
    </row>
    <row r="28" spans="1:24" ht="25.5" customHeight="1" thickBot="1">
      <c r="A28" s="223"/>
      <c r="B28" s="305" t="s">
        <v>463</v>
      </c>
      <c r="C28" s="112">
        <v>2.1</v>
      </c>
      <c r="D28" s="113">
        <f t="shared" si="0"/>
        <v>16928.550297024813</v>
      </c>
      <c r="E28" s="113">
        <f>11919.35/C28</f>
        <v>5675.880952380952</v>
      </c>
      <c r="F28" s="113"/>
      <c r="G28" s="113">
        <f>E28*L28+3200.00000000004+6000+988.029820834297-638.12476190476</f>
        <v>11252.669344643862</v>
      </c>
      <c r="H28" s="113"/>
      <c r="I28" s="113">
        <v>1.6</v>
      </c>
      <c r="J28" s="113">
        <f t="shared" si="1"/>
        <v>1109158.615461066</v>
      </c>
      <c r="K28" s="233"/>
      <c r="L28" s="227">
        <v>0.3</v>
      </c>
      <c r="M28" s="229">
        <f>2410515.57</f>
        <v>2410515.57</v>
      </c>
      <c r="N28" s="294">
        <f>M28-J28-J30</f>
        <v>0</v>
      </c>
      <c r="O28" s="243">
        <f>N28/12/2.6/C28</f>
        <v>0</v>
      </c>
      <c r="P28" s="227">
        <f t="shared" si="2"/>
        <v>44014.23077226451</v>
      </c>
      <c r="Q28" s="227"/>
      <c r="R28" s="227"/>
      <c r="S28" s="227"/>
      <c r="T28" s="227"/>
      <c r="U28" s="227"/>
      <c r="V28" s="227"/>
      <c r="W28" s="227"/>
      <c r="X28" s="227"/>
    </row>
    <row r="29" spans="1:21" ht="25.5" customHeight="1" thickBot="1">
      <c r="A29" s="223"/>
      <c r="B29" s="305" t="s">
        <v>464</v>
      </c>
      <c r="C29" s="112">
        <v>46.55</v>
      </c>
      <c r="D29" s="113">
        <f t="shared" si="0"/>
        <v>7435.932502067779</v>
      </c>
      <c r="E29" s="149">
        <f>155703.8/C29</f>
        <v>3344.872180451128</v>
      </c>
      <c r="F29" s="149"/>
      <c r="G29" s="113">
        <f>E29*L29+1793.54025833815+290.596755007824</f>
        <v>4091.0603216166505</v>
      </c>
      <c r="H29" s="112"/>
      <c r="I29" s="113">
        <v>1.6</v>
      </c>
      <c r="J29" s="113">
        <f t="shared" si="1"/>
        <v>10799650.92870316</v>
      </c>
      <c r="K29" s="270"/>
      <c r="L29" s="227">
        <v>0.6</v>
      </c>
      <c r="M29" s="271"/>
      <c r="N29" s="270"/>
      <c r="O29" s="270"/>
      <c r="P29" s="270">
        <f t="shared" si="2"/>
        <v>19333.424505376224</v>
      </c>
      <c r="Q29" s="270"/>
      <c r="R29" s="270"/>
      <c r="S29" s="270"/>
      <c r="T29" s="270"/>
      <c r="U29" s="270"/>
    </row>
    <row r="30" spans="1:17" ht="25.5" customHeight="1" thickBot="1">
      <c r="A30" s="223"/>
      <c r="B30" s="305" t="s">
        <v>465</v>
      </c>
      <c r="C30" s="112">
        <v>2.67</v>
      </c>
      <c r="D30" s="113">
        <f>E30+F30+G30</f>
        <v>15621.782321844496</v>
      </c>
      <c r="E30" s="149">
        <f>10594.65/C30</f>
        <v>3968.0337078651687</v>
      </c>
      <c r="F30" s="149"/>
      <c r="G30" s="113">
        <f>E30*L30+1012.29945+260.628939260226+400+100+7500</f>
        <v>11653.748613979327</v>
      </c>
      <c r="H30" s="112"/>
      <c r="I30" s="113">
        <v>1.6</v>
      </c>
      <c r="J30" s="113">
        <f t="shared" si="1"/>
        <v>1301356.9545389337</v>
      </c>
      <c r="K30" s="272"/>
      <c r="L30" s="227">
        <v>0.6</v>
      </c>
      <c r="M30" s="229">
        <f>SUM(M24:M28)</f>
        <v>39362220.64</v>
      </c>
      <c r="N30" s="272"/>
      <c r="O30" s="272"/>
      <c r="P30" s="272"/>
      <c r="Q30" s="272"/>
    </row>
    <row r="31" spans="1:17" ht="29.25" customHeight="1" thickBot="1">
      <c r="A31" s="409" t="s">
        <v>125</v>
      </c>
      <c r="B31" s="410"/>
      <c r="C31" s="141">
        <f>SUM(C24:C30)</f>
        <v>103.16000000000001</v>
      </c>
      <c r="D31" s="226">
        <f>SUM(D24:D30)</f>
        <v>123521.85094761162</v>
      </c>
      <c r="E31" s="226">
        <f>SUM(E24:E30)</f>
        <v>62259.439599889316</v>
      </c>
      <c r="F31" s="226"/>
      <c r="G31" s="226">
        <f>SUM(G24:G30)</f>
        <v>61262.41134772231</v>
      </c>
      <c r="H31" s="141"/>
      <c r="I31" s="141"/>
      <c r="J31" s="210">
        <f>SUM(J24:J30)</f>
        <v>39362220.64000001</v>
      </c>
      <c r="K31" s="272"/>
      <c r="L31" s="234">
        <f>39362220.64-J31</f>
        <v>0</v>
      </c>
      <c r="M31" s="317">
        <f>39362220.64-M30</f>
        <v>0</v>
      </c>
      <c r="N31" s="272"/>
      <c r="O31" s="272"/>
      <c r="P31" s="272"/>
      <c r="Q31" s="272"/>
    </row>
    <row r="32" spans="1:17" ht="29.25" customHeight="1">
      <c r="A32" s="312"/>
      <c r="B32" s="312"/>
      <c r="C32" s="313"/>
      <c r="D32" s="313"/>
      <c r="E32" s="313"/>
      <c r="F32" s="313"/>
      <c r="G32" s="313"/>
      <c r="H32" s="314"/>
      <c r="I32" s="313"/>
      <c r="J32" s="315"/>
      <c r="K32" s="272"/>
      <c r="L32" s="274"/>
      <c r="M32" s="275"/>
      <c r="N32" s="272"/>
      <c r="O32" s="272"/>
      <c r="P32" s="272"/>
      <c r="Q32" s="272"/>
    </row>
    <row r="33" spans="1:17" ht="29.25" customHeight="1">
      <c r="A33" s="408" t="s">
        <v>170</v>
      </c>
      <c r="B33" s="408"/>
      <c r="C33" s="408"/>
      <c r="D33" s="408"/>
      <c r="E33" s="408"/>
      <c r="F33" s="408"/>
      <c r="G33" s="313"/>
      <c r="H33" s="314"/>
      <c r="I33" s="313"/>
      <c r="J33" s="315"/>
      <c r="K33" s="272"/>
      <c r="L33" s="274"/>
      <c r="M33" s="275"/>
      <c r="N33" s="272"/>
      <c r="O33" s="272"/>
      <c r="P33" s="272"/>
      <c r="Q33" s="272"/>
    </row>
    <row r="34" spans="10:17" ht="15.75" thickBot="1">
      <c r="J34" s="276"/>
      <c r="K34" s="272"/>
      <c r="L34" s="277">
        <f>L31/2.6/12/C25</f>
        <v>0</v>
      </c>
      <c r="M34" s="272"/>
      <c r="N34" s="272"/>
      <c r="O34" s="272"/>
      <c r="P34" s="272"/>
      <c r="Q34" s="272"/>
    </row>
    <row r="35" spans="1:17" ht="81.75" customHeight="1" thickBot="1">
      <c r="A35" s="136" t="s">
        <v>0</v>
      </c>
      <c r="B35" s="309" t="s">
        <v>127</v>
      </c>
      <c r="C35" s="177" t="s">
        <v>128</v>
      </c>
      <c r="D35" s="177" t="s">
        <v>129</v>
      </c>
      <c r="E35" s="177" t="s">
        <v>130</v>
      </c>
      <c r="F35" s="177" t="s">
        <v>396</v>
      </c>
      <c r="K35" s="272"/>
      <c r="L35" s="273"/>
      <c r="M35" s="272"/>
      <c r="N35" s="272"/>
      <c r="O35" s="272"/>
      <c r="P35" s="272"/>
      <c r="Q35" s="272"/>
    </row>
    <row r="36" spans="1:17" ht="19.5" thickBot="1">
      <c r="A36" s="305">
        <v>1</v>
      </c>
      <c r="B36" s="112">
        <v>2</v>
      </c>
      <c r="C36" s="112">
        <v>3</v>
      </c>
      <c r="D36" s="112">
        <v>4</v>
      </c>
      <c r="E36" s="112">
        <v>5</v>
      </c>
      <c r="F36" s="112">
        <v>6</v>
      </c>
      <c r="J36" s="218"/>
      <c r="K36" s="272"/>
      <c r="L36" s="272"/>
      <c r="M36" s="272"/>
      <c r="N36" s="273"/>
      <c r="O36" s="272"/>
      <c r="P36" s="272"/>
      <c r="Q36" s="272"/>
    </row>
    <row r="37" spans="1:13" ht="42" customHeight="1" thickBot="1">
      <c r="A37" s="305">
        <v>1</v>
      </c>
      <c r="B37" s="112"/>
      <c r="C37" s="149">
        <v>0</v>
      </c>
      <c r="D37" s="149">
        <v>0</v>
      </c>
      <c r="E37" s="149">
        <v>0</v>
      </c>
      <c r="F37" s="149">
        <f>C37*D37*E37</f>
        <v>0</v>
      </c>
      <c r="M37" s="218"/>
    </row>
    <row r="38" spans="1:13" ht="38.25" customHeight="1" thickBot="1">
      <c r="A38" s="305"/>
      <c r="B38" s="140" t="s">
        <v>125</v>
      </c>
      <c r="C38" s="141" t="s">
        <v>126</v>
      </c>
      <c r="D38" s="141" t="s">
        <v>126</v>
      </c>
      <c r="E38" s="141" t="s">
        <v>126</v>
      </c>
      <c r="F38" s="226">
        <f>F37</f>
        <v>0</v>
      </c>
      <c r="L38" s="278"/>
      <c r="M38" s="218"/>
    </row>
    <row r="39" ht="15">
      <c r="L39" s="143"/>
    </row>
    <row r="40" spans="1:6" ht="18.75">
      <c r="A40" s="408" t="s">
        <v>171</v>
      </c>
      <c r="B40" s="408"/>
      <c r="C40" s="408"/>
      <c r="D40" s="408"/>
      <c r="E40" s="408"/>
      <c r="F40" s="408"/>
    </row>
    <row r="41" ht="15.75" thickBot="1"/>
    <row r="42" spans="1:6" ht="84.75" customHeight="1" thickBot="1">
      <c r="A42" s="136" t="s">
        <v>0</v>
      </c>
      <c r="B42" s="309" t="s">
        <v>127</v>
      </c>
      <c r="C42" s="177" t="s">
        <v>132</v>
      </c>
      <c r="D42" s="177" t="s">
        <v>133</v>
      </c>
      <c r="E42" s="177" t="s">
        <v>134</v>
      </c>
      <c r="F42" s="177" t="s">
        <v>396</v>
      </c>
    </row>
    <row r="43" spans="1:6" ht="19.5" thickBot="1">
      <c r="A43" s="305">
        <v>1</v>
      </c>
      <c r="B43" s="112">
        <v>2</v>
      </c>
      <c r="C43" s="112">
        <v>3</v>
      </c>
      <c r="D43" s="112">
        <v>4</v>
      </c>
      <c r="E43" s="112">
        <v>5</v>
      </c>
      <c r="F43" s="112">
        <v>6</v>
      </c>
    </row>
    <row r="44" spans="1:6" ht="42.75" customHeight="1" thickBot="1">
      <c r="A44" s="305">
        <v>1</v>
      </c>
      <c r="B44" s="112" t="s">
        <v>290</v>
      </c>
      <c r="C44" s="112">
        <v>5</v>
      </c>
      <c r="D44" s="112">
        <v>12</v>
      </c>
      <c r="E44" s="149">
        <v>90</v>
      </c>
      <c r="F44" s="139">
        <f>C44*D44*E44</f>
        <v>5400</v>
      </c>
    </row>
    <row r="45" spans="1:6" ht="40.5" customHeight="1" thickBot="1">
      <c r="A45" s="305"/>
      <c r="B45" s="140" t="s">
        <v>125</v>
      </c>
      <c r="C45" s="141" t="s">
        <v>126</v>
      </c>
      <c r="D45" s="141" t="s">
        <v>126</v>
      </c>
      <c r="E45" s="141" t="s">
        <v>126</v>
      </c>
      <c r="F45" s="142">
        <f>F44</f>
        <v>5400</v>
      </c>
    </row>
    <row r="46" ht="21.75" customHeight="1"/>
    <row r="47" spans="1:7" ht="68.25" customHeight="1">
      <c r="A47" s="408" t="s">
        <v>172</v>
      </c>
      <c r="B47" s="408"/>
      <c r="C47" s="408"/>
      <c r="D47" s="408"/>
      <c r="E47" s="408"/>
      <c r="F47" s="408"/>
      <c r="G47" s="408"/>
    </row>
    <row r="48" ht="0.75" customHeight="1" thickBot="1"/>
    <row r="49" spans="1:4" ht="101.25" customHeight="1" thickBot="1">
      <c r="A49" s="136" t="s">
        <v>0</v>
      </c>
      <c r="B49" s="177" t="s">
        <v>135</v>
      </c>
      <c r="C49" s="177" t="s">
        <v>136</v>
      </c>
      <c r="D49" s="177" t="s">
        <v>137</v>
      </c>
    </row>
    <row r="50" spans="1:4" ht="19.5" thickBot="1">
      <c r="A50" s="305">
        <v>1</v>
      </c>
      <c r="B50" s="112">
        <v>2</v>
      </c>
      <c r="C50" s="112">
        <v>3</v>
      </c>
      <c r="D50" s="112">
        <v>4</v>
      </c>
    </row>
    <row r="51" spans="1:4" ht="75.75" customHeight="1" thickBot="1">
      <c r="A51" s="305">
        <v>1</v>
      </c>
      <c r="B51" s="150" t="s">
        <v>138</v>
      </c>
      <c r="C51" s="112" t="s">
        <v>126</v>
      </c>
      <c r="D51" s="113">
        <f>D52+D54</f>
        <v>11796439.623532195</v>
      </c>
    </row>
    <row r="52" spans="1:4" ht="18.75">
      <c r="A52" s="371" t="s">
        <v>139</v>
      </c>
      <c r="B52" s="178" t="s">
        <v>22</v>
      </c>
      <c r="C52" s="371"/>
      <c r="D52" s="367">
        <f>11887390.63-D55-D56</f>
        <v>11796439.623532195</v>
      </c>
    </row>
    <row r="53" spans="1:12" ht="38.25" customHeight="1" thickBot="1">
      <c r="A53" s="372"/>
      <c r="B53" s="179" t="s">
        <v>140</v>
      </c>
      <c r="C53" s="372"/>
      <c r="D53" s="368"/>
      <c r="L53" s="134">
        <f>J28*0.302</f>
        <v>334965.9018692419</v>
      </c>
    </row>
    <row r="54" spans="1:4" ht="54.75" customHeight="1" thickBot="1">
      <c r="A54" s="305" t="s">
        <v>141</v>
      </c>
      <c r="B54" s="180" t="s">
        <v>142</v>
      </c>
      <c r="C54" s="112"/>
      <c r="D54" s="113"/>
    </row>
    <row r="55" spans="1:4" ht="67.5" customHeight="1" thickBot="1">
      <c r="A55" s="305">
        <v>2</v>
      </c>
      <c r="B55" s="150" t="s">
        <v>143</v>
      </c>
      <c r="C55" s="112" t="s">
        <v>126</v>
      </c>
      <c r="D55" s="113">
        <f>C56*3.1%</f>
        <v>34383.917079293045</v>
      </c>
    </row>
    <row r="56" spans="1:4" ht="72" customHeight="1" thickBot="1">
      <c r="A56" s="305">
        <v>3</v>
      </c>
      <c r="B56" s="150" t="s">
        <v>144</v>
      </c>
      <c r="C56" s="113">
        <f>J28</f>
        <v>1109158.615461066</v>
      </c>
      <c r="D56" s="113">
        <f>C56*5.1%</f>
        <v>56567.08938851436</v>
      </c>
    </row>
    <row r="57" spans="1:4" ht="42" customHeight="1" thickBot="1">
      <c r="A57" s="305"/>
      <c r="B57" s="140" t="s">
        <v>125</v>
      </c>
      <c r="C57" s="141" t="s">
        <v>126</v>
      </c>
      <c r="D57" s="163">
        <f>D52+D55+D56</f>
        <v>11887390.63</v>
      </c>
    </row>
    <row r="59" spans="1:6" ht="22.5" customHeight="1">
      <c r="A59" s="408" t="s">
        <v>173</v>
      </c>
      <c r="B59" s="408"/>
      <c r="C59" s="408"/>
      <c r="D59" s="408"/>
      <c r="E59" s="408"/>
      <c r="F59" s="408"/>
    </row>
    <row r="60" ht="5.25" customHeight="1"/>
    <row r="61" spans="1:6" ht="18.75">
      <c r="A61" s="411" t="s">
        <v>174</v>
      </c>
      <c r="B61" s="411"/>
      <c r="C61" s="411"/>
      <c r="D61" s="411"/>
      <c r="E61" s="411"/>
      <c r="F61" s="411"/>
    </row>
    <row r="62" spans="1:6" ht="18.75">
      <c r="A62" s="411" t="s">
        <v>175</v>
      </c>
      <c r="B62" s="411"/>
      <c r="C62" s="411"/>
      <c r="D62" s="411"/>
      <c r="E62" s="411"/>
      <c r="F62" s="411"/>
    </row>
    <row r="63" ht="1.5" customHeight="1" thickBot="1">
      <c r="A63" s="135"/>
    </row>
    <row r="64" spans="1:5" ht="51" customHeight="1" thickBot="1">
      <c r="A64" s="136" t="s">
        <v>0</v>
      </c>
      <c r="B64" s="309" t="s">
        <v>1</v>
      </c>
      <c r="C64" s="177" t="s">
        <v>145</v>
      </c>
      <c r="D64" s="177" t="s">
        <v>146</v>
      </c>
      <c r="E64" s="177" t="s">
        <v>397</v>
      </c>
    </row>
    <row r="65" spans="1:5" ht="19.5" thickBot="1">
      <c r="A65" s="305">
        <v>1</v>
      </c>
      <c r="B65" s="112">
        <v>2</v>
      </c>
      <c r="C65" s="112">
        <v>3</v>
      </c>
      <c r="D65" s="112">
        <v>4</v>
      </c>
      <c r="E65" s="112">
        <v>5</v>
      </c>
    </row>
    <row r="66" spans="1:5" ht="19.5" thickBot="1">
      <c r="A66" s="305"/>
      <c r="B66" s="112"/>
      <c r="C66" s="112"/>
      <c r="D66" s="112"/>
      <c r="E66" s="112"/>
    </row>
    <row r="67" spans="1:5" ht="19.5" thickBot="1">
      <c r="A67" s="305"/>
      <c r="B67" s="140" t="s">
        <v>125</v>
      </c>
      <c r="C67" s="141" t="s">
        <v>126</v>
      </c>
      <c r="D67" s="141" t="s">
        <v>126</v>
      </c>
      <c r="E67" s="141"/>
    </row>
    <row r="70" spans="1:7" ht="18.75">
      <c r="A70" s="402" t="s">
        <v>176</v>
      </c>
      <c r="B70" s="402"/>
      <c r="C70" s="402"/>
      <c r="D70" s="402"/>
      <c r="E70" s="402"/>
      <c r="F70" s="402"/>
      <c r="G70" s="402"/>
    </row>
    <row r="71" ht="13.5" customHeight="1">
      <c r="A71" s="310"/>
    </row>
    <row r="72" ht="18.75" hidden="1">
      <c r="A72" s="135"/>
    </row>
    <row r="73" spans="1:7" ht="18.75">
      <c r="A73" s="411" t="s">
        <v>392</v>
      </c>
      <c r="B73" s="411"/>
      <c r="C73" s="411"/>
      <c r="D73" s="411"/>
      <c r="E73" s="411"/>
      <c r="F73" s="411"/>
      <c r="G73" s="411"/>
    </row>
    <row r="74" spans="1:7" ht="18.75">
      <c r="A74" s="411" t="s">
        <v>292</v>
      </c>
      <c r="B74" s="411"/>
      <c r="C74" s="411"/>
      <c r="D74" s="411"/>
      <c r="E74" s="411"/>
      <c r="F74" s="411"/>
      <c r="G74" s="411"/>
    </row>
    <row r="75" ht="0.75" customHeight="1" thickBot="1">
      <c r="A75" s="135"/>
    </row>
    <row r="76" spans="1:5" ht="72.75" customHeight="1" thickBot="1">
      <c r="A76" s="136" t="s">
        <v>0</v>
      </c>
      <c r="B76" s="177" t="s">
        <v>127</v>
      </c>
      <c r="C76" s="177" t="s">
        <v>148</v>
      </c>
      <c r="D76" s="177" t="s">
        <v>149</v>
      </c>
      <c r="E76" s="177" t="s">
        <v>398</v>
      </c>
    </row>
    <row r="77" spans="1:5" ht="19.5" thickBot="1">
      <c r="A77" s="305">
        <v>1</v>
      </c>
      <c r="B77" s="112">
        <v>2</v>
      </c>
      <c r="C77" s="112">
        <v>3</v>
      </c>
      <c r="D77" s="112">
        <v>4</v>
      </c>
      <c r="E77" s="112">
        <v>5</v>
      </c>
    </row>
    <row r="78" spans="1:24" ht="19.5" thickBot="1">
      <c r="A78" s="305">
        <v>1</v>
      </c>
      <c r="B78" s="112" t="s">
        <v>293</v>
      </c>
      <c r="C78" s="139">
        <v>41220545.454546</v>
      </c>
      <c r="D78" s="139">
        <v>2.2</v>
      </c>
      <c r="E78" s="182">
        <f>(C78*D78)/100</f>
        <v>906852.0000000121</v>
      </c>
      <c r="F78" s="143"/>
      <c r="H78" s="183"/>
      <c r="K78" s="227"/>
      <c r="L78" s="207">
        <f>906852*100/D78</f>
        <v>41220545.45454545</v>
      </c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>
        <f>105614.75/0.022</f>
        <v>4800670.454545455</v>
      </c>
    </row>
    <row r="79" spans="1:24" ht="27" customHeight="1" thickBot="1">
      <c r="A79" s="305">
        <v>2</v>
      </c>
      <c r="B79" s="112" t="s">
        <v>294</v>
      </c>
      <c r="C79" s="139">
        <v>738783.33333333</v>
      </c>
      <c r="D79" s="139">
        <v>1.5</v>
      </c>
      <c r="E79" s="182">
        <f>C79*D79</f>
        <v>1108174.9999999949</v>
      </c>
      <c r="F79" s="143"/>
      <c r="K79" s="227"/>
      <c r="L79" s="286">
        <f>1108175/D79</f>
        <v>738783.3333333334</v>
      </c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</row>
    <row r="80" spans="1:24" ht="27" customHeight="1" thickBot="1">
      <c r="A80" s="305">
        <v>3</v>
      </c>
      <c r="B80" s="112" t="s">
        <v>382</v>
      </c>
      <c r="C80" s="139">
        <v>17170</v>
      </c>
      <c r="D80" s="139"/>
      <c r="E80" s="182">
        <f>C80</f>
        <v>17170</v>
      </c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</row>
    <row r="81" spans="1:24" ht="27" customHeight="1" hidden="1" thickBot="1">
      <c r="A81" s="305">
        <v>4</v>
      </c>
      <c r="B81" s="112" t="s">
        <v>437</v>
      </c>
      <c r="C81" s="139"/>
      <c r="D81" s="139"/>
      <c r="E81" s="182"/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</row>
    <row r="82" spans="1:24" ht="27" customHeight="1" hidden="1" thickBot="1">
      <c r="A82" s="305">
        <v>4</v>
      </c>
      <c r="B82" s="112" t="s">
        <v>358</v>
      </c>
      <c r="C82" s="139"/>
      <c r="D82" s="139"/>
      <c r="E82" s="182"/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</row>
    <row r="83" spans="1:24" ht="19.5" thickBot="1">
      <c r="A83" s="305"/>
      <c r="B83" s="140" t="s">
        <v>125</v>
      </c>
      <c r="C83" s="142"/>
      <c r="D83" s="142" t="s">
        <v>126</v>
      </c>
      <c r="E83" s="142">
        <f>SUM(E78:E82)</f>
        <v>2032197.000000007</v>
      </c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</row>
    <row r="85" spans="1:5" ht="18.75">
      <c r="A85" s="402" t="s">
        <v>295</v>
      </c>
      <c r="B85" s="402"/>
      <c r="C85" s="402"/>
      <c r="D85" s="402"/>
      <c r="E85" s="402"/>
    </row>
    <row r="86" ht="7.5" customHeight="1">
      <c r="A86" s="310"/>
    </row>
    <row r="87" ht="18.75">
      <c r="A87" s="184" t="s">
        <v>345</v>
      </c>
    </row>
    <row r="88" spans="1:7" ht="18.75">
      <c r="A88" s="308" t="s">
        <v>292</v>
      </c>
      <c r="B88" s="308"/>
      <c r="C88" s="308"/>
      <c r="D88" s="308"/>
      <c r="E88" s="308"/>
      <c r="F88" s="308"/>
      <c r="G88" s="308"/>
    </row>
    <row r="89" ht="18.75">
      <c r="A89" s="184"/>
    </row>
    <row r="90" spans="1:6" ht="18.75" customHeight="1">
      <c r="A90" s="402" t="s">
        <v>297</v>
      </c>
      <c r="B90" s="402"/>
      <c r="C90" s="402"/>
      <c r="D90" s="402"/>
      <c r="E90" s="402"/>
      <c r="F90" s="402"/>
    </row>
    <row r="91" ht="15.75" thickBot="1"/>
    <row r="92" spans="1:6" ht="57" thickBot="1">
      <c r="A92" s="136" t="s">
        <v>0</v>
      </c>
      <c r="B92" s="309" t="s">
        <v>127</v>
      </c>
      <c r="C92" s="309" t="s">
        <v>151</v>
      </c>
      <c r="D92" s="309" t="s">
        <v>152</v>
      </c>
      <c r="E92" s="309" t="s">
        <v>153</v>
      </c>
      <c r="F92" s="309" t="s">
        <v>131</v>
      </c>
    </row>
    <row r="93" spans="1:6" ht="19.5" thickBot="1">
      <c r="A93" s="305">
        <v>1</v>
      </c>
      <c r="B93" s="112">
        <v>2</v>
      </c>
      <c r="C93" s="112">
        <v>3</v>
      </c>
      <c r="D93" s="112">
        <v>4</v>
      </c>
      <c r="E93" s="112">
        <v>5</v>
      </c>
      <c r="F93" s="112">
        <v>6</v>
      </c>
    </row>
    <row r="94" spans="1:24" ht="25.5" customHeight="1" thickBot="1">
      <c r="A94" s="305">
        <v>1</v>
      </c>
      <c r="B94" s="112" t="s">
        <v>298</v>
      </c>
      <c r="C94" s="112">
        <v>1</v>
      </c>
      <c r="D94" s="112">
        <v>12</v>
      </c>
      <c r="E94" s="182">
        <v>6000</v>
      </c>
      <c r="F94" s="182">
        <f>E94*D94</f>
        <v>72000</v>
      </c>
      <c r="G94" s="143"/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</row>
    <row r="95" spans="1:6" ht="25.5" customHeight="1" hidden="1" thickBot="1">
      <c r="A95" s="305">
        <v>2</v>
      </c>
      <c r="B95" s="112" t="s">
        <v>385</v>
      </c>
      <c r="C95" s="112"/>
      <c r="D95" s="112"/>
      <c r="E95" s="182"/>
      <c r="F95" s="182">
        <f>E95*D95</f>
        <v>0</v>
      </c>
    </row>
    <row r="96" spans="1:6" ht="19.5" thickBot="1">
      <c r="A96" s="305"/>
      <c r="B96" s="140" t="s">
        <v>125</v>
      </c>
      <c r="C96" s="141" t="s">
        <v>126</v>
      </c>
      <c r="D96" s="141" t="s">
        <v>126</v>
      </c>
      <c r="E96" s="141" t="s">
        <v>126</v>
      </c>
      <c r="F96" s="142">
        <f>SUM(F94:F95)</f>
        <v>72000</v>
      </c>
    </row>
    <row r="98" spans="1:6" ht="24" customHeight="1">
      <c r="A98" s="402" t="s">
        <v>299</v>
      </c>
      <c r="B98" s="402"/>
      <c r="C98" s="402"/>
      <c r="D98" s="402"/>
      <c r="E98" s="402"/>
      <c r="F98" s="402"/>
    </row>
    <row r="99" ht="15.75" thickBot="1"/>
    <row r="100" spans="1:5" ht="57" thickBot="1">
      <c r="A100" s="136" t="s">
        <v>0</v>
      </c>
      <c r="B100" s="309" t="s">
        <v>127</v>
      </c>
      <c r="C100" s="309" t="s">
        <v>154</v>
      </c>
      <c r="D100" s="309" t="s">
        <v>155</v>
      </c>
      <c r="E100" s="309" t="s">
        <v>156</v>
      </c>
    </row>
    <row r="101" spans="1:5" ht="19.5" thickBot="1">
      <c r="A101" s="305">
        <v>1</v>
      </c>
      <c r="B101" s="112">
        <v>2</v>
      </c>
      <c r="C101" s="112">
        <v>3</v>
      </c>
      <c r="D101" s="112">
        <v>4</v>
      </c>
      <c r="E101" s="112">
        <v>5</v>
      </c>
    </row>
    <row r="102" spans="1:24" ht="19.5" thickBot="1">
      <c r="A102" s="305"/>
      <c r="B102" s="112" t="s">
        <v>451</v>
      </c>
      <c r="C102" s="113">
        <v>12</v>
      </c>
      <c r="D102" s="113">
        <v>63333.33333</v>
      </c>
      <c r="E102" s="113">
        <v>760000</v>
      </c>
      <c r="K102" s="227"/>
      <c r="L102" s="227"/>
      <c r="M102" s="227"/>
      <c r="N102" s="227"/>
      <c r="O102" s="227"/>
      <c r="P102" s="227"/>
      <c r="Q102" s="227"/>
      <c r="R102" s="227"/>
      <c r="S102" s="227"/>
      <c r="T102" s="227"/>
      <c r="U102" s="227"/>
      <c r="V102" s="227"/>
      <c r="W102" s="227"/>
      <c r="X102" s="227"/>
    </row>
    <row r="103" spans="1:5" ht="19.5" thickBot="1">
      <c r="A103" s="305"/>
      <c r="B103" s="185" t="s">
        <v>125</v>
      </c>
      <c r="C103" s="287">
        <f>C102</f>
        <v>12</v>
      </c>
      <c r="D103" s="287">
        <f>D102</f>
        <v>63333.33333</v>
      </c>
      <c r="E103" s="287">
        <f>E102</f>
        <v>760000</v>
      </c>
    </row>
    <row r="105" spans="1:6" ht="18.75">
      <c r="A105" s="402" t="s">
        <v>300</v>
      </c>
      <c r="B105" s="402"/>
      <c r="C105" s="402"/>
      <c r="D105" s="402"/>
      <c r="E105" s="402"/>
      <c r="F105" s="402"/>
    </row>
    <row r="106" ht="15.75" thickBot="1"/>
    <row r="107" spans="1:7" ht="57" thickBot="1">
      <c r="A107" s="136" t="s">
        <v>0</v>
      </c>
      <c r="B107" s="309" t="s">
        <v>1</v>
      </c>
      <c r="C107" s="309" t="s">
        <v>301</v>
      </c>
      <c r="D107" s="309" t="s">
        <v>302</v>
      </c>
      <c r="E107" s="309" t="s">
        <v>157</v>
      </c>
      <c r="F107" s="309" t="s">
        <v>158</v>
      </c>
      <c r="G107" s="309" t="s">
        <v>159</v>
      </c>
    </row>
    <row r="108" spans="1:7" ht="19.5" thickBot="1">
      <c r="A108" s="305">
        <v>1</v>
      </c>
      <c r="B108" s="112">
        <v>2</v>
      </c>
      <c r="C108" s="112">
        <v>3</v>
      </c>
      <c r="D108" s="112">
        <v>4</v>
      </c>
      <c r="E108" s="112">
        <v>5</v>
      </c>
      <c r="F108" s="112">
        <v>6</v>
      </c>
      <c r="G108" s="112">
        <v>7</v>
      </c>
    </row>
    <row r="109" spans="1:13" ht="22.5" customHeight="1" thickBot="1">
      <c r="A109" s="305">
        <v>1</v>
      </c>
      <c r="B109" s="305" t="s">
        <v>303</v>
      </c>
      <c r="C109" s="149" t="s">
        <v>304</v>
      </c>
      <c r="D109" s="149">
        <v>577.85</v>
      </c>
      <c r="E109" s="149">
        <v>6740.6603270745</v>
      </c>
      <c r="F109" s="112"/>
      <c r="G109" s="186">
        <f aca="true" t="shared" si="3" ref="G109:G114">E109*D109</f>
        <v>3895090.57</v>
      </c>
      <c r="H109" s="208"/>
      <c r="I109" s="206">
        <f aca="true" t="shared" si="4" ref="I109:I114">H109*1000</f>
        <v>0</v>
      </c>
      <c r="J109" s="206">
        <f aca="true" t="shared" si="5" ref="J109:J114">I109/D109</f>
        <v>0</v>
      </c>
      <c r="K109" s="134">
        <f>'[1]тепло'!$F$65</f>
        <v>577.85</v>
      </c>
      <c r="L109" s="183">
        <f>'[1]тепло'!$I$65*1000</f>
        <v>3895090.57</v>
      </c>
      <c r="M109" s="134">
        <f aca="true" t="shared" si="6" ref="M109:M114">L109/D109</f>
        <v>6740.6603270745</v>
      </c>
    </row>
    <row r="110" spans="1:13" ht="22.5" customHeight="1" thickBot="1">
      <c r="A110" s="305">
        <v>2</v>
      </c>
      <c r="B110" s="305" t="s">
        <v>305</v>
      </c>
      <c r="C110" s="149" t="s">
        <v>304</v>
      </c>
      <c r="D110" s="149">
        <v>35.19</v>
      </c>
      <c r="E110" s="149">
        <v>6790.758169934641</v>
      </c>
      <c r="F110" s="112"/>
      <c r="G110" s="186">
        <f t="shared" si="3"/>
        <v>238966.78</v>
      </c>
      <c r="H110" s="270"/>
      <c r="I110" s="206">
        <f t="shared" si="4"/>
        <v>0</v>
      </c>
      <c r="J110" s="206">
        <f t="shared" si="5"/>
        <v>0</v>
      </c>
      <c r="K110" s="134">
        <f>'[1]Тепло для ГВС'!$F$65</f>
        <v>35.19</v>
      </c>
      <c r="L110" s="183">
        <f>'[1]Тепло для ГВС'!$I$65*1000</f>
        <v>238966.78</v>
      </c>
      <c r="M110" s="134">
        <f t="shared" si="6"/>
        <v>6790.758169934641</v>
      </c>
    </row>
    <row r="111" spans="1:13" ht="22.5" customHeight="1" thickBot="1">
      <c r="A111" s="305">
        <v>3</v>
      </c>
      <c r="B111" s="305" t="s">
        <v>306</v>
      </c>
      <c r="C111" s="149" t="s">
        <v>331</v>
      </c>
      <c r="D111" s="149">
        <v>108629</v>
      </c>
      <c r="E111" s="149">
        <v>5.790400169383865</v>
      </c>
      <c r="F111" s="112"/>
      <c r="G111" s="186">
        <f t="shared" si="3"/>
        <v>629005.3799999999</v>
      </c>
      <c r="H111" s="270"/>
      <c r="I111" s="206">
        <f t="shared" si="4"/>
        <v>0</v>
      </c>
      <c r="J111" s="206">
        <f t="shared" si="5"/>
        <v>0</v>
      </c>
      <c r="K111" s="134">
        <f>'[1]электро'!$F$65*1000</f>
        <v>108629</v>
      </c>
      <c r="L111" s="183">
        <f>'[1]электро'!$I$65*1000</f>
        <v>629005.3799999999</v>
      </c>
      <c r="M111" s="134">
        <f t="shared" si="6"/>
        <v>5.790400169383865</v>
      </c>
    </row>
    <row r="112" spans="1:13" ht="22.5" customHeight="1" thickBot="1">
      <c r="A112" s="305">
        <v>4</v>
      </c>
      <c r="B112" s="305" t="s">
        <v>307</v>
      </c>
      <c r="C112" s="149" t="s">
        <v>308</v>
      </c>
      <c r="D112" s="149">
        <v>1497</v>
      </c>
      <c r="E112" s="149">
        <v>53.743420173680704</v>
      </c>
      <c r="F112" s="112"/>
      <c r="G112" s="186">
        <f t="shared" si="3"/>
        <v>80453.90000000001</v>
      </c>
      <c r="H112" s="270"/>
      <c r="I112" s="206">
        <f t="shared" si="4"/>
        <v>0</v>
      </c>
      <c r="J112" s="206">
        <f t="shared" si="5"/>
        <v>0</v>
      </c>
      <c r="K112" s="134">
        <f>'[1]ХВС'!$F$65</f>
        <v>1497</v>
      </c>
      <c r="L112" s="183">
        <f>'[1]ХВС'!$I$65*1000</f>
        <v>80453.90000000001</v>
      </c>
      <c r="M112" s="134">
        <f t="shared" si="6"/>
        <v>53.743420173680704</v>
      </c>
    </row>
    <row r="113" spans="1:13" ht="22.5" customHeight="1" thickBot="1">
      <c r="A113" s="305">
        <v>5</v>
      </c>
      <c r="B113" s="305" t="s">
        <v>309</v>
      </c>
      <c r="C113" s="149" t="s">
        <v>308</v>
      </c>
      <c r="D113" s="149">
        <v>2065.2799999999997</v>
      </c>
      <c r="E113" s="149">
        <v>40.358731019522786</v>
      </c>
      <c r="F113" s="112"/>
      <c r="G113" s="186">
        <f t="shared" si="3"/>
        <v>83352.08</v>
      </c>
      <c r="H113" s="270"/>
      <c r="I113" s="206">
        <f t="shared" si="4"/>
        <v>0</v>
      </c>
      <c r="J113" s="206">
        <f t="shared" si="5"/>
        <v>0</v>
      </c>
      <c r="K113" s="218">
        <f>'[1]канал'!$F$65</f>
        <v>2065.2799999999997</v>
      </c>
      <c r="L113" s="183">
        <f>'[1]канал'!$I$65*1000</f>
        <v>83352.08</v>
      </c>
      <c r="M113" s="134">
        <f t="shared" si="6"/>
        <v>40.358731019522786</v>
      </c>
    </row>
    <row r="114" spans="1:13" ht="22.5" customHeight="1" thickBot="1">
      <c r="A114" s="305">
        <v>6</v>
      </c>
      <c r="B114" s="305" t="s">
        <v>310</v>
      </c>
      <c r="C114" s="149" t="s">
        <v>308</v>
      </c>
      <c r="D114" s="149">
        <v>568.28</v>
      </c>
      <c r="E114" s="149">
        <v>53.74278524670937</v>
      </c>
      <c r="F114" s="112"/>
      <c r="G114" s="186">
        <f t="shared" si="3"/>
        <v>30540.949999999997</v>
      </c>
      <c r="H114" s="270"/>
      <c r="I114" s="206">
        <f t="shared" si="4"/>
        <v>0</v>
      </c>
      <c r="J114" s="206">
        <f t="shared" si="5"/>
        <v>0</v>
      </c>
      <c r="K114" s="134">
        <f>'[1]ХВС для ГВС'!$F$65</f>
        <v>568.28</v>
      </c>
      <c r="L114" s="183">
        <f>'[1]ХВС для ГВС'!$I$65*1000</f>
        <v>30540.949999999997</v>
      </c>
      <c r="M114" s="134">
        <f t="shared" si="6"/>
        <v>53.74278524670937</v>
      </c>
    </row>
    <row r="115" spans="1:12" ht="19.5" thickBot="1">
      <c r="A115" s="305"/>
      <c r="B115" s="140" t="s">
        <v>125</v>
      </c>
      <c r="C115" s="141" t="s">
        <v>126</v>
      </c>
      <c r="D115" s="141" t="s">
        <v>126</v>
      </c>
      <c r="E115" s="141" t="s">
        <v>126</v>
      </c>
      <c r="F115" s="141" t="s">
        <v>126</v>
      </c>
      <c r="G115" s="209">
        <f>G114+G113+G112+G111+G110+G109</f>
        <v>4957409.66</v>
      </c>
      <c r="H115" s="208"/>
      <c r="L115" s="183">
        <f>SUM(L109:L114)</f>
        <v>4957409.66</v>
      </c>
    </row>
    <row r="117" spans="1:6" ht="18.75" customHeight="1">
      <c r="A117" s="402" t="s">
        <v>311</v>
      </c>
      <c r="B117" s="402"/>
      <c r="C117" s="402"/>
      <c r="D117" s="402"/>
      <c r="E117" s="402"/>
      <c r="F117" s="184"/>
    </row>
    <row r="118" ht="15.75" thickBot="1"/>
    <row r="119" spans="1:5" ht="57" thickBot="1">
      <c r="A119" s="136" t="s">
        <v>0</v>
      </c>
      <c r="B119" s="309" t="s">
        <v>1</v>
      </c>
      <c r="C119" s="309" t="s">
        <v>160</v>
      </c>
      <c r="D119" s="309" t="s">
        <v>161</v>
      </c>
      <c r="E119" s="309" t="s">
        <v>162</v>
      </c>
    </row>
    <row r="120" spans="1:5" ht="19.5" thickBot="1">
      <c r="A120" s="305">
        <v>1</v>
      </c>
      <c r="B120" s="112">
        <v>2</v>
      </c>
      <c r="C120" s="112">
        <v>3</v>
      </c>
      <c r="D120" s="112">
        <v>4</v>
      </c>
      <c r="E120" s="112">
        <v>5</v>
      </c>
    </row>
    <row r="121" spans="1:5" ht="19.5" thickBot="1">
      <c r="A121" s="305"/>
      <c r="B121" s="112"/>
      <c r="C121" s="112"/>
      <c r="D121" s="112"/>
      <c r="E121" s="112"/>
    </row>
    <row r="122" spans="1:5" ht="19.5" thickBot="1">
      <c r="A122" s="305"/>
      <c r="B122" s="187" t="s">
        <v>125</v>
      </c>
      <c r="C122" s="112" t="s">
        <v>126</v>
      </c>
      <c r="D122" s="112" t="s">
        <v>126</v>
      </c>
      <c r="E122" s="112" t="s">
        <v>126</v>
      </c>
    </row>
    <row r="124" spans="1:5" ht="26.25" customHeight="1">
      <c r="A124" s="408" t="s">
        <v>312</v>
      </c>
      <c r="B124" s="408"/>
      <c r="C124" s="408"/>
      <c r="D124" s="408"/>
      <c r="E124" s="408"/>
    </row>
    <row r="125" spans="1:13" ht="19.5" thickBot="1">
      <c r="A125" s="135"/>
      <c r="L125" s="134">
        <v>221</v>
      </c>
      <c r="M125" s="207">
        <f>F96</f>
        <v>72000</v>
      </c>
    </row>
    <row r="126" spans="1:13" ht="38.25" thickBot="1">
      <c r="A126" s="136" t="s">
        <v>0</v>
      </c>
      <c r="B126" s="309" t="s">
        <v>127</v>
      </c>
      <c r="C126" s="309" t="s">
        <v>163</v>
      </c>
      <c r="D126" s="309" t="s">
        <v>164</v>
      </c>
      <c r="E126" s="309" t="s">
        <v>165</v>
      </c>
      <c r="L126" s="134">
        <v>223</v>
      </c>
      <c r="M126" s="207">
        <f>G115</f>
        <v>4957409.66</v>
      </c>
    </row>
    <row r="127" spans="1:14" ht="19.5" thickBot="1">
      <c r="A127" s="305">
        <v>1</v>
      </c>
      <c r="B127" s="112">
        <v>2</v>
      </c>
      <c r="C127" s="112">
        <v>3</v>
      </c>
      <c r="D127" s="112">
        <v>4</v>
      </c>
      <c r="E127" s="112">
        <v>5</v>
      </c>
      <c r="L127" s="134">
        <v>225</v>
      </c>
      <c r="M127" s="207" t="e">
        <f>#REF!</f>
        <v>#REF!</v>
      </c>
      <c r="N127" s="207" t="e">
        <f>M127-2448834.86</f>
        <v>#REF!</v>
      </c>
    </row>
    <row r="128" spans="1:24" ht="24" customHeight="1" thickBot="1">
      <c r="A128" s="305">
        <v>1</v>
      </c>
      <c r="B128" s="138" t="s">
        <v>313</v>
      </c>
      <c r="C128" s="112"/>
      <c r="D128" s="112">
        <v>12</v>
      </c>
      <c r="E128" s="139">
        <v>104024.76</v>
      </c>
      <c r="K128" s="227"/>
      <c r="L128" s="227"/>
      <c r="M128" s="227"/>
      <c r="N128" s="227"/>
      <c r="O128" s="227"/>
      <c r="P128" s="227"/>
      <c r="Q128" s="227"/>
      <c r="R128" s="227"/>
      <c r="S128" s="227"/>
      <c r="T128" s="227"/>
      <c r="U128" s="227"/>
      <c r="V128" s="227"/>
      <c r="W128" s="227"/>
      <c r="X128" s="227"/>
    </row>
    <row r="129" spans="1:24" ht="24" customHeight="1" thickBot="1">
      <c r="A129" s="305">
        <v>2</v>
      </c>
      <c r="B129" s="138" t="s">
        <v>314</v>
      </c>
      <c r="C129" s="112"/>
      <c r="D129" s="112">
        <v>12</v>
      </c>
      <c r="E129" s="139">
        <v>114000</v>
      </c>
      <c r="K129" s="227"/>
      <c r="L129" s="227"/>
      <c r="M129" s="227"/>
      <c r="N129" s="227"/>
      <c r="O129" s="227"/>
      <c r="P129" s="227"/>
      <c r="Q129" s="227"/>
      <c r="R129" s="227"/>
      <c r="S129" s="227"/>
      <c r="T129" s="227"/>
      <c r="U129" s="227"/>
      <c r="V129" s="227"/>
      <c r="W129" s="227"/>
      <c r="X129" s="227"/>
    </row>
    <row r="130" spans="1:24" ht="24" customHeight="1" thickBot="1">
      <c r="A130" s="305">
        <v>3</v>
      </c>
      <c r="B130" s="138" t="s">
        <v>329</v>
      </c>
      <c r="C130" s="112"/>
      <c r="D130" s="112">
        <v>12</v>
      </c>
      <c r="E130" s="139">
        <v>216000</v>
      </c>
      <c r="K130" s="227"/>
      <c r="L130" s="227"/>
      <c r="M130" s="227"/>
      <c r="N130" s="227"/>
      <c r="O130" s="227"/>
      <c r="P130" s="227"/>
      <c r="Q130" s="227"/>
      <c r="R130" s="227"/>
      <c r="S130" s="227"/>
      <c r="T130" s="227"/>
      <c r="U130" s="227"/>
      <c r="V130" s="227"/>
      <c r="W130" s="227"/>
      <c r="X130" s="227"/>
    </row>
    <row r="131" spans="1:24" ht="24" customHeight="1" thickBot="1">
      <c r="A131" s="305">
        <v>4</v>
      </c>
      <c r="B131" s="138" t="s">
        <v>315</v>
      </c>
      <c r="C131" s="112"/>
      <c r="D131" s="112">
        <v>12</v>
      </c>
      <c r="E131" s="139">
        <v>46971.36</v>
      </c>
      <c r="K131" s="227"/>
      <c r="L131" s="227"/>
      <c r="M131" s="227"/>
      <c r="N131" s="227"/>
      <c r="O131" s="227"/>
      <c r="P131" s="227"/>
      <c r="Q131" s="227"/>
      <c r="R131" s="227"/>
      <c r="S131" s="227"/>
      <c r="T131" s="227"/>
      <c r="U131" s="227"/>
      <c r="V131" s="227"/>
      <c r="W131" s="227"/>
      <c r="X131" s="227"/>
    </row>
    <row r="132" spans="1:24" ht="24" customHeight="1" thickBot="1">
      <c r="A132" s="305">
        <v>5</v>
      </c>
      <c r="B132" s="138" t="s">
        <v>346</v>
      </c>
      <c r="C132" s="112"/>
      <c r="D132" s="112">
        <v>12</v>
      </c>
      <c r="E132" s="139">
        <v>16800</v>
      </c>
      <c r="K132" s="227"/>
      <c r="L132" s="227"/>
      <c r="M132" s="227"/>
      <c r="N132" s="227"/>
      <c r="O132" s="227"/>
      <c r="P132" s="227"/>
      <c r="Q132" s="227"/>
      <c r="R132" s="227"/>
      <c r="S132" s="227"/>
      <c r="T132" s="227"/>
      <c r="U132" s="227"/>
      <c r="V132" s="227"/>
      <c r="W132" s="227"/>
      <c r="X132" s="227"/>
    </row>
    <row r="133" spans="1:24" ht="24" customHeight="1" thickBot="1">
      <c r="A133" s="305">
        <v>6</v>
      </c>
      <c r="B133" s="138" t="s">
        <v>316</v>
      </c>
      <c r="C133" s="112"/>
      <c r="D133" s="112">
        <v>12</v>
      </c>
      <c r="E133" s="139">
        <v>66000</v>
      </c>
      <c r="K133" s="227"/>
      <c r="L133" s="227"/>
      <c r="M133" s="227"/>
      <c r="N133" s="227"/>
      <c r="O133" s="227"/>
      <c r="P133" s="227"/>
      <c r="Q133" s="227"/>
      <c r="R133" s="227"/>
      <c r="S133" s="227"/>
      <c r="T133" s="227"/>
      <c r="U133" s="227"/>
      <c r="V133" s="227"/>
      <c r="W133" s="227"/>
      <c r="X133" s="227"/>
    </row>
    <row r="134" spans="1:24" ht="24" customHeight="1" thickBot="1">
      <c r="A134" s="305">
        <v>7</v>
      </c>
      <c r="B134" s="138" t="s">
        <v>317</v>
      </c>
      <c r="C134" s="112"/>
      <c r="D134" s="112">
        <v>1</v>
      </c>
      <c r="E134" s="139">
        <v>500000</v>
      </c>
      <c r="K134" s="227"/>
      <c r="L134" s="227"/>
      <c r="M134" s="227"/>
      <c r="N134" s="227"/>
      <c r="O134" s="227"/>
      <c r="P134" s="227"/>
      <c r="Q134" s="227"/>
      <c r="R134" s="227"/>
      <c r="S134" s="227"/>
      <c r="T134" s="227"/>
      <c r="U134" s="227"/>
      <c r="V134" s="227"/>
      <c r="W134" s="227"/>
      <c r="X134" s="227"/>
    </row>
    <row r="135" spans="1:24" ht="57" thickBot="1">
      <c r="A135" s="305">
        <v>8</v>
      </c>
      <c r="B135" s="138" t="s">
        <v>452</v>
      </c>
      <c r="C135" s="112"/>
      <c r="D135" s="112"/>
      <c r="E135" s="139">
        <v>100000</v>
      </c>
      <c r="K135" s="227"/>
      <c r="L135" s="227"/>
      <c r="M135" s="227"/>
      <c r="N135" s="227"/>
      <c r="O135" s="227"/>
      <c r="P135" s="227"/>
      <c r="Q135" s="227"/>
      <c r="R135" s="227"/>
      <c r="S135" s="227"/>
      <c r="T135" s="227"/>
      <c r="U135" s="227"/>
      <c r="V135" s="227"/>
      <c r="W135" s="227"/>
      <c r="X135" s="227"/>
    </row>
    <row r="136" spans="1:24" ht="24" customHeight="1" thickBot="1">
      <c r="A136" s="305">
        <v>9</v>
      </c>
      <c r="B136" s="138" t="s">
        <v>318</v>
      </c>
      <c r="C136" s="112"/>
      <c r="D136" s="112"/>
      <c r="E136" s="139">
        <f>450000+230000</f>
        <v>680000</v>
      </c>
      <c r="K136" s="227"/>
      <c r="L136" s="227"/>
      <c r="M136" s="227"/>
      <c r="N136" s="227"/>
      <c r="O136" s="227"/>
      <c r="P136" s="227"/>
      <c r="Q136" s="227"/>
      <c r="R136" s="227"/>
      <c r="S136" s="227"/>
      <c r="T136" s="227"/>
      <c r="U136" s="227"/>
      <c r="V136" s="227"/>
      <c r="W136" s="227"/>
      <c r="X136" s="227"/>
    </row>
    <row r="137" spans="1:24" ht="24" customHeight="1" thickBot="1">
      <c r="A137" s="305">
        <v>10</v>
      </c>
      <c r="B137" s="138" t="s">
        <v>319</v>
      </c>
      <c r="C137" s="112"/>
      <c r="D137" s="112"/>
      <c r="E137" s="139">
        <v>150000</v>
      </c>
      <c r="K137" s="227"/>
      <c r="L137" s="227"/>
      <c r="M137" s="227"/>
      <c r="N137" s="227"/>
      <c r="O137" s="227"/>
      <c r="P137" s="227"/>
      <c r="Q137" s="227"/>
      <c r="R137" s="227"/>
      <c r="S137" s="227"/>
      <c r="T137" s="227"/>
      <c r="U137" s="227"/>
      <c r="V137" s="227"/>
      <c r="W137" s="227"/>
      <c r="X137" s="227"/>
    </row>
    <row r="138" spans="1:24" ht="24" customHeight="1" thickBot="1">
      <c r="A138" s="305">
        <v>11</v>
      </c>
      <c r="B138" s="138" t="s">
        <v>320</v>
      </c>
      <c r="C138" s="112"/>
      <c r="D138" s="112">
        <v>1</v>
      </c>
      <c r="E138" s="139">
        <v>50000</v>
      </c>
      <c r="K138" s="227"/>
      <c r="L138" s="227"/>
      <c r="M138" s="227"/>
      <c r="N138" s="227"/>
      <c r="O138" s="227"/>
      <c r="P138" s="227"/>
      <c r="Q138" s="227"/>
      <c r="R138" s="227"/>
      <c r="S138" s="227"/>
      <c r="T138" s="227"/>
      <c r="U138" s="227"/>
      <c r="V138" s="227"/>
      <c r="W138" s="227"/>
      <c r="X138" s="227"/>
    </row>
    <row r="139" spans="1:24" ht="24" customHeight="1" thickBot="1">
      <c r="A139" s="305">
        <v>12</v>
      </c>
      <c r="B139" s="138" t="s">
        <v>383</v>
      </c>
      <c r="C139" s="112"/>
      <c r="D139" s="112"/>
      <c r="E139" s="139">
        <v>30000</v>
      </c>
      <c r="K139" s="227"/>
      <c r="L139" s="227"/>
      <c r="M139" s="227"/>
      <c r="N139" s="227"/>
      <c r="O139" s="227"/>
      <c r="P139" s="227"/>
      <c r="Q139" s="227"/>
      <c r="R139" s="227"/>
      <c r="S139" s="227"/>
      <c r="T139" s="227"/>
      <c r="U139" s="227"/>
      <c r="V139" s="227"/>
      <c r="W139" s="227"/>
      <c r="X139" s="227"/>
    </row>
    <row r="140" spans="1:24" ht="24" customHeight="1" thickBot="1">
      <c r="A140" s="305">
        <v>13</v>
      </c>
      <c r="B140" s="138" t="s">
        <v>453</v>
      </c>
      <c r="C140" s="112"/>
      <c r="D140" s="112"/>
      <c r="E140" s="139">
        <v>50000</v>
      </c>
      <c r="F140" s="207"/>
      <c r="K140" s="227"/>
      <c r="L140" s="227"/>
      <c r="M140" s="227"/>
      <c r="N140" s="227"/>
      <c r="O140" s="227"/>
      <c r="P140" s="227"/>
      <c r="Q140" s="227"/>
      <c r="R140" s="227"/>
      <c r="S140" s="227"/>
      <c r="T140" s="227"/>
      <c r="U140" s="227"/>
      <c r="V140" s="227"/>
      <c r="W140" s="227"/>
      <c r="X140" s="227"/>
    </row>
    <row r="141" spans="1:24" ht="24" customHeight="1" thickBot="1">
      <c r="A141" s="305">
        <v>14</v>
      </c>
      <c r="B141" s="138" t="s">
        <v>407</v>
      </c>
      <c r="C141" s="112"/>
      <c r="D141" s="112">
        <v>12</v>
      </c>
      <c r="E141" s="139">
        <v>60000</v>
      </c>
      <c r="K141" s="227"/>
      <c r="L141" s="227"/>
      <c r="M141" s="227"/>
      <c r="N141" s="227"/>
      <c r="O141" s="227"/>
      <c r="P141" s="227"/>
      <c r="Q141" s="227"/>
      <c r="R141" s="227"/>
      <c r="S141" s="227"/>
      <c r="T141" s="227"/>
      <c r="U141" s="227"/>
      <c r="V141" s="227"/>
      <c r="W141" s="227"/>
      <c r="X141" s="227"/>
    </row>
    <row r="142" spans="1:24" ht="24" customHeight="1" thickBot="1">
      <c r="A142" s="305">
        <v>15</v>
      </c>
      <c r="B142" s="138" t="s">
        <v>454</v>
      </c>
      <c r="C142" s="112"/>
      <c r="D142" s="112">
        <v>1</v>
      </c>
      <c r="E142" s="139">
        <v>291267</v>
      </c>
      <c r="K142" s="227"/>
      <c r="L142" s="227"/>
      <c r="M142" s="227"/>
      <c r="N142" s="227"/>
      <c r="O142" s="227"/>
      <c r="P142" s="227"/>
      <c r="Q142" s="227"/>
      <c r="R142" s="227"/>
      <c r="S142" s="227"/>
      <c r="T142" s="227"/>
      <c r="U142" s="227"/>
      <c r="V142" s="227"/>
      <c r="W142" s="227"/>
      <c r="X142" s="227"/>
    </row>
    <row r="143" spans="1:24" ht="24" customHeight="1" hidden="1" thickBot="1">
      <c r="A143" s="305">
        <v>16</v>
      </c>
      <c r="B143" s="138" t="s">
        <v>408</v>
      </c>
      <c r="C143" s="112"/>
      <c r="D143" s="112">
        <v>4</v>
      </c>
      <c r="E143" s="139"/>
      <c r="K143" s="227"/>
      <c r="L143" s="227"/>
      <c r="M143" s="227"/>
      <c r="N143" s="227"/>
      <c r="O143" s="227"/>
      <c r="P143" s="227"/>
      <c r="Q143" s="227"/>
      <c r="R143" s="227"/>
      <c r="S143" s="227"/>
      <c r="T143" s="227"/>
      <c r="U143" s="227"/>
      <c r="V143" s="227"/>
      <c r="W143" s="227"/>
      <c r="X143" s="227"/>
    </row>
    <row r="144" spans="1:24" ht="24" customHeight="1" thickBot="1">
      <c r="A144" s="305">
        <v>16</v>
      </c>
      <c r="B144" s="138" t="s">
        <v>409</v>
      </c>
      <c r="C144" s="112"/>
      <c r="D144" s="112">
        <v>1</v>
      </c>
      <c r="E144" s="139">
        <v>90000</v>
      </c>
      <c r="K144" s="227"/>
      <c r="L144" s="227"/>
      <c r="M144" s="227"/>
      <c r="N144" s="227"/>
      <c r="O144" s="227"/>
      <c r="P144" s="227"/>
      <c r="Q144" s="227"/>
      <c r="R144" s="227"/>
      <c r="S144" s="227"/>
      <c r="T144" s="227"/>
      <c r="U144" s="227"/>
      <c r="V144" s="227"/>
      <c r="W144" s="227"/>
      <c r="X144" s="227"/>
    </row>
    <row r="145" spans="1:24" ht="24" customHeight="1" hidden="1" thickBot="1">
      <c r="A145" s="305">
        <v>18</v>
      </c>
      <c r="B145" s="138" t="s">
        <v>410</v>
      </c>
      <c r="C145" s="112"/>
      <c r="D145" s="112">
        <v>6</v>
      </c>
      <c r="E145" s="139"/>
      <c r="K145" s="227"/>
      <c r="L145" s="227"/>
      <c r="M145" s="227"/>
      <c r="N145" s="227"/>
      <c r="O145" s="227"/>
      <c r="P145" s="227"/>
      <c r="Q145" s="227"/>
      <c r="R145" s="227"/>
      <c r="S145" s="227"/>
      <c r="T145" s="227"/>
      <c r="U145" s="227"/>
      <c r="V145" s="227"/>
      <c r="W145" s="227"/>
      <c r="X145" s="227"/>
    </row>
    <row r="146" spans="1:24" ht="24" customHeight="1" hidden="1" thickBot="1">
      <c r="A146" s="305">
        <v>19</v>
      </c>
      <c r="B146" s="138" t="s">
        <v>427</v>
      </c>
      <c r="C146" s="112"/>
      <c r="D146" s="112"/>
      <c r="E146" s="139"/>
      <c r="K146" s="227"/>
      <c r="L146" s="227"/>
      <c r="M146" s="227"/>
      <c r="N146" s="227"/>
      <c r="O146" s="227"/>
      <c r="P146" s="227"/>
      <c r="Q146" s="227"/>
      <c r="R146" s="227"/>
      <c r="S146" s="227"/>
      <c r="T146" s="227"/>
      <c r="U146" s="227"/>
      <c r="V146" s="227"/>
      <c r="W146" s="227"/>
      <c r="X146" s="227"/>
    </row>
    <row r="147" spans="1:24" ht="24" customHeight="1" hidden="1" thickBot="1">
      <c r="A147" s="305">
        <v>20</v>
      </c>
      <c r="B147" s="138" t="s">
        <v>428</v>
      </c>
      <c r="C147" s="112"/>
      <c r="D147" s="112"/>
      <c r="E147" s="139"/>
      <c r="K147" s="227"/>
      <c r="L147" s="227"/>
      <c r="M147" s="227"/>
      <c r="N147" s="227"/>
      <c r="O147" s="227"/>
      <c r="P147" s="227"/>
      <c r="Q147" s="227"/>
      <c r="R147" s="227"/>
      <c r="S147" s="227"/>
      <c r="T147" s="227"/>
      <c r="U147" s="227"/>
      <c r="V147" s="227"/>
      <c r="W147" s="227"/>
      <c r="X147" s="227"/>
    </row>
    <row r="148" spans="1:24" ht="24" customHeight="1" hidden="1" thickBot="1">
      <c r="A148" s="305">
        <v>21</v>
      </c>
      <c r="B148" s="138" t="s">
        <v>429</v>
      </c>
      <c r="C148" s="112"/>
      <c r="D148" s="112"/>
      <c r="E148" s="139"/>
      <c r="K148" s="227"/>
      <c r="L148" s="227"/>
      <c r="M148" s="227"/>
      <c r="N148" s="227"/>
      <c r="O148" s="227"/>
      <c r="P148" s="227"/>
      <c r="Q148" s="227"/>
      <c r="R148" s="227"/>
      <c r="S148" s="227"/>
      <c r="T148" s="227"/>
      <c r="U148" s="227"/>
      <c r="V148" s="227"/>
      <c r="W148" s="227"/>
      <c r="X148" s="227"/>
    </row>
    <row r="149" spans="1:24" ht="24" customHeight="1" hidden="1" thickBot="1">
      <c r="A149" s="305">
        <v>22</v>
      </c>
      <c r="B149" s="138" t="s">
        <v>430</v>
      </c>
      <c r="C149" s="112"/>
      <c r="D149" s="112"/>
      <c r="E149" s="139"/>
      <c r="K149" s="227"/>
      <c r="L149" s="227"/>
      <c r="M149" s="227"/>
      <c r="N149" s="227"/>
      <c r="O149" s="227"/>
      <c r="P149" s="227"/>
      <c r="Q149" s="227"/>
      <c r="R149" s="227"/>
      <c r="S149" s="227"/>
      <c r="T149" s="227"/>
      <c r="U149" s="227"/>
      <c r="V149" s="227"/>
      <c r="W149" s="227"/>
      <c r="X149" s="227"/>
    </row>
    <row r="150" spans="1:24" ht="24" customHeight="1" thickBot="1">
      <c r="A150" s="305">
        <v>17</v>
      </c>
      <c r="B150" s="138" t="s">
        <v>347</v>
      </c>
      <c r="C150" s="112"/>
      <c r="D150" s="112"/>
      <c r="E150" s="139">
        <v>40000</v>
      </c>
      <c r="K150" s="227"/>
      <c r="L150" s="227"/>
      <c r="M150" s="227"/>
      <c r="N150" s="227"/>
      <c r="O150" s="227"/>
      <c r="P150" s="227"/>
      <c r="Q150" s="227"/>
      <c r="R150" s="227"/>
      <c r="S150" s="227"/>
      <c r="T150" s="227"/>
      <c r="U150" s="227"/>
      <c r="V150" s="227"/>
      <c r="W150" s="227"/>
      <c r="X150" s="227"/>
    </row>
    <row r="151" spans="1:24" ht="19.5" thickBot="1">
      <c r="A151" s="305"/>
      <c r="B151" s="140" t="s">
        <v>125</v>
      </c>
      <c r="C151" s="141" t="s">
        <v>126</v>
      </c>
      <c r="D151" s="141" t="s">
        <v>126</v>
      </c>
      <c r="E151" s="142">
        <f>SUM(E128:E150)</f>
        <v>2605063.12</v>
      </c>
      <c r="F151" s="143"/>
      <c r="K151" s="227"/>
      <c r="L151" s="286"/>
      <c r="M151" s="236"/>
      <c r="N151" s="227"/>
      <c r="O151" s="227"/>
      <c r="P151" s="227"/>
      <c r="Q151" s="227"/>
      <c r="R151" s="227"/>
      <c r="S151" s="227"/>
      <c r="T151" s="227"/>
      <c r="U151" s="227"/>
      <c r="V151" s="227"/>
      <c r="W151" s="227"/>
      <c r="X151" s="227"/>
    </row>
    <row r="153" spans="1:5" ht="27.75" customHeight="1">
      <c r="A153" s="408" t="s">
        <v>321</v>
      </c>
      <c r="B153" s="408"/>
      <c r="C153" s="408"/>
      <c r="D153" s="408"/>
      <c r="E153" s="408"/>
    </row>
    <row r="154" ht="8.25" customHeight="1" thickBot="1">
      <c r="A154" s="135"/>
    </row>
    <row r="155" spans="1:4" ht="38.25" thickBot="1">
      <c r="A155" s="136" t="s">
        <v>0</v>
      </c>
      <c r="B155" s="309" t="s">
        <v>127</v>
      </c>
      <c r="C155" s="309" t="s">
        <v>166</v>
      </c>
      <c r="D155" s="309" t="s">
        <v>167</v>
      </c>
    </row>
    <row r="156" spans="1:4" ht="19.5" thickBot="1">
      <c r="A156" s="305">
        <v>1</v>
      </c>
      <c r="B156" s="112">
        <v>2</v>
      </c>
      <c r="C156" s="112">
        <v>3</v>
      </c>
      <c r="D156" s="112">
        <v>4</v>
      </c>
    </row>
    <row r="157" spans="1:4" ht="22.5" customHeight="1" thickBot="1">
      <c r="A157" s="305">
        <v>1</v>
      </c>
      <c r="B157" s="138" t="s">
        <v>322</v>
      </c>
      <c r="C157" s="112">
        <v>1</v>
      </c>
      <c r="D157" s="139">
        <v>156000</v>
      </c>
    </row>
    <row r="158" spans="1:4" ht="22.5" customHeight="1" thickBot="1">
      <c r="A158" s="305">
        <v>2</v>
      </c>
      <c r="B158" s="138" t="s">
        <v>384</v>
      </c>
      <c r="C158" s="112"/>
      <c r="D158" s="139">
        <v>50000</v>
      </c>
    </row>
    <row r="159" spans="1:4" ht="22.5" customHeight="1" thickBot="1">
      <c r="A159" s="305">
        <v>3</v>
      </c>
      <c r="B159" s="138" t="s">
        <v>323</v>
      </c>
      <c r="C159" s="112"/>
      <c r="D159" s="139">
        <v>400000</v>
      </c>
    </row>
    <row r="160" spans="1:4" ht="22.5" customHeight="1" thickBot="1">
      <c r="A160" s="305">
        <v>4</v>
      </c>
      <c r="B160" s="138" t="s">
        <v>348</v>
      </c>
      <c r="C160" s="112"/>
      <c r="D160" s="139">
        <v>40000</v>
      </c>
    </row>
    <row r="161" spans="1:4" ht="22.5" customHeight="1" hidden="1" thickBot="1">
      <c r="A161" s="305">
        <v>5</v>
      </c>
      <c r="B161" s="138" t="s">
        <v>388</v>
      </c>
      <c r="C161" s="112"/>
      <c r="D161" s="139"/>
    </row>
    <row r="162" spans="1:4" ht="22.5" customHeight="1" thickBot="1">
      <c r="A162" s="305">
        <v>5</v>
      </c>
      <c r="B162" s="138" t="s">
        <v>395</v>
      </c>
      <c r="C162" s="112"/>
      <c r="D162" s="139">
        <v>170000</v>
      </c>
    </row>
    <row r="163" spans="1:4" ht="22.5" customHeight="1" thickBot="1">
      <c r="A163" s="305">
        <v>6</v>
      </c>
      <c r="B163" s="138" t="s">
        <v>409</v>
      </c>
      <c r="C163" s="112"/>
      <c r="D163" s="139">
        <v>200000</v>
      </c>
    </row>
    <row r="164" spans="1:4" ht="22.5" customHeight="1" thickBot="1">
      <c r="A164" s="305">
        <v>7</v>
      </c>
      <c r="B164" s="138" t="s">
        <v>420</v>
      </c>
      <c r="C164" s="112"/>
      <c r="D164" s="139">
        <v>50000</v>
      </c>
    </row>
    <row r="165" spans="1:5" ht="19.5" thickBot="1">
      <c r="A165" s="305"/>
      <c r="B165" s="140" t="s">
        <v>125</v>
      </c>
      <c r="C165" s="141" t="s">
        <v>126</v>
      </c>
      <c r="D165" s="142">
        <f>SUM(D157:D164)</f>
        <v>1066000</v>
      </c>
      <c r="E165" s="143"/>
    </row>
    <row r="167" spans="1:6" ht="26.25" customHeight="1">
      <c r="A167" s="408" t="s">
        <v>324</v>
      </c>
      <c r="B167" s="408"/>
      <c r="C167" s="408"/>
      <c r="D167" s="408"/>
      <c r="E167" s="408"/>
      <c r="F167" s="408"/>
    </row>
    <row r="168" ht="15.75" thickBot="1"/>
    <row r="169" spans="1:5" ht="57" thickBot="1">
      <c r="A169" s="136" t="s">
        <v>0</v>
      </c>
      <c r="B169" s="309" t="s">
        <v>127</v>
      </c>
      <c r="C169" s="309" t="s">
        <v>160</v>
      </c>
      <c r="D169" s="309" t="s">
        <v>168</v>
      </c>
      <c r="E169" s="309" t="s">
        <v>169</v>
      </c>
    </row>
    <row r="170" spans="1:5" ht="19.5" thickBot="1">
      <c r="A170" s="305"/>
      <c r="B170" s="112">
        <v>1</v>
      </c>
      <c r="C170" s="112">
        <v>2</v>
      </c>
      <c r="D170" s="112">
        <v>3</v>
      </c>
      <c r="E170" s="112">
        <v>4</v>
      </c>
    </row>
    <row r="171" spans="1:5" ht="54.75" customHeight="1" thickBot="1">
      <c r="A171" s="305">
        <v>1</v>
      </c>
      <c r="B171" s="138" t="s">
        <v>325</v>
      </c>
      <c r="C171" s="112"/>
      <c r="D171" s="139">
        <v>250000</v>
      </c>
      <c r="E171" s="139">
        <f>D171</f>
        <v>250000</v>
      </c>
    </row>
    <row r="172" spans="1:5" ht="30" customHeight="1" hidden="1" thickBot="1">
      <c r="A172" s="305">
        <v>1</v>
      </c>
      <c r="B172" s="138" t="s">
        <v>325</v>
      </c>
      <c r="C172" s="112"/>
      <c r="D172" s="139">
        <f>E172</f>
        <v>0</v>
      </c>
      <c r="E172" s="139">
        <v>0</v>
      </c>
    </row>
    <row r="173" spans="1:5" ht="46.5" customHeight="1" hidden="1" thickBot="1">
      <c r="A173" s="305">
        <v>2</v>
      </c>
      <c r="B173" s="138" t="s">
        <v>332</v>
      </c>
      <c r="C173" s="112"/>
      <c r="D173" s="139">
        <f>E173</f>
        <v>0</v>
      </c>
      <c r="E173" s="139">
        <v>0</v>
      </c>
    </row>
    <row r="174" spans="1:5" ht="30" customHeight="1" thickBot="1">
      <c r="A174" s="304"/>
      <c r="B174" s="188" t="s">
        <v>336</v>
      </c>
      <c r="C174" s="141"/>
      <c r="D174" s="142"/>
      <c r="E174" s="142">
        <f>SUM(E171)</f>
        <v>250000</v>
      </c>
    </row>
    <row r="175" spans="1:5" ht="28.5" customHeight="1" thickBot="1">
      <c r="A175" s="305">
        <v>1</v>
      </c>
      <c r="B175" s="138" t="s">
        <v>326</v>
      </c>
      <c r="C175" s="112"/>
      <c r="D175" s="139">
        <f>E175</f>
        <v>186401.56</v>
      </c>
      <c r="E175" s="139">
        <v>186401.56</v>
      </c>
    </row>
    <row r="176" spans="1:5" ht="27" customHeight="1" hidden="1" thickBot="1">
      <c r="A176" s="305"/>
      <c r="B176" s="138" t="s">
        <v>390</v>
      </c>
      <c r="C176" s="112"/>
      <c r="D176" s="139">
        <f>E176</f>
        <v>0</v>
      </c>
      <c r="E176" s="139"/>
    </row>
    <row r="177" spans="1:5" ht="28.5" customHeight="1" thickBot="1">
      <c r="A177" s="305">
        <v>2</v>
      </c>
      <c r="B177" s="138" t="s">
        <v>386</v>
      </c>
      <c r="C177" s="112"/>
      <c r="D177" s="139">
        <f>E177</f>
        <v>30000</v>
      </c>
      <c r="E177" s="139">
        <v>30000</v>
      </c>
    </row>
    <row r="178" spans="1:5" ht="58.5" customHeight="1" thickBot="1">
      <c r="A178" s="305">
        <v>3</v>
      </c>
      <c r="B178" s="138" t="s">
        <v>333</v>
      </c>
      <c r="C178" s="112"/>
      <c r="D178" s="139">
        <f>E178</f>
        <v>1500900</v>
      </c>
      <c r="E178" s="139">
        <v>1500900</v>
      </c>
    </row>
    <row r="179" spans="1:5" ht="27.75" customHeight="1" thickBot="1">
      <c r="A179" s="304"/>
      <c r="B179" s="188" t="s">
        <v>327</v>
      </c>
      <c r="C179" s="141"/>
      <c r="D179" s="142"/>
      <c r="E179" s="142">
        <f>SUM(E175:E178)</f>
        <v>1717301.56</v>
      </c>
    </row>
    <row r="181" spans="1:3" ht="15">
      <c r="A181" s="414"/>
      <c r="B181" s="414"/>
      <c r="C181" s="414"/>
    </row>
    <row r="182" spans="7:8" ht="15">
      <c r="G182" s="143"/>
      <c r="H182" s="143"/>
    </row>
    <row r="183" spans="4:8" ht="15">
      <c r="D183" s="134" t="s">
        <v>404</v>
      </c>
      <c r="E183" s="143">
        <v>64714982.61</v>
      </c>
      <c r="G183" s="143"/>
      <c r="H183" s="143"/>
    </row>
    <row r="184" ht="15">
      <c r="E184" s="143">
        <f>E183-E179-E174-D165-E151-G115-E103-F96-E83-D57-F45-J31</f>
        <v>0</v>
      </c>
    </row>
    <row r="185" ht="15">
      <c r="J185" s="218"/>
    </row>
  </sheetData>
  <sheetProtection/>
  <mergeCells count="36">
    <mergeCell ref="A33:F33"/>
    <mergeCell ref="A11:J11"/>
    <mergeCell ref="A13:J13"/>
    <mergeCell ref="A15:J15"/>
    <mergeCell ref="A16:J16"/>
    <mergeCell ref="A18:J18"/>
    <mergeCell ref="A20:A22"/>
    <mergeCell ref="B20:B22"/>
    <mergeCell ref="C20:C22"/>
    <mergeCell ref="D20:G20"/>
    <mergeCell ref="H20:H22"/>
    <mergeCell ref="I20:I22"/>
    <mergeCell ref="J20:J22"/>
    <mergeCell ref="D21:D22"/>
    <mergeCell ref="E21:G21"/>
    <mergeCell ref="A31:B31"/>
    <mergeCell ref="A40:F40"/>
    <mergeCell ref="A47:G47"/>
    <mergeCell ref="A52:A53"/>
    <mergeCell ref="C52:C53"/>
    <mergeCell ref="D52:D53"/>
    <mergeCell ref="A59:F59"/>
    <mergeCell ref="A61:F61"/>
    <mergeCell ref="A62:F62"/>
    <mergeCell ref="A70:G70"/>
    <mergeCell ref="A73:G73"/>
    <mergeCell ref="A74:G74"/>
    <mergeCell ref="A85:E85"/>
    <mergeCell ref="A167:F167"/>
    <mergeCell ref="A181:C181"/>
    <mergeCell ref="A90:F90"/>
    <mergeCell ref="A98:F98"/>
    <mergeCell ref="A105:F105"/>
    <mergeCell ref="A117:E117"/>
    <mergeCell ref="A124:E124"/>
    <mergeCell ref="A153:E153"/>
  </mergeCells>
  <printOptions/>
  <pageMargins left="0.25" right="0.25" top="0.75" bottom="0.75" header="0.3" footer="0.3"/>
  <pageSetup horizontalDpi="600" verticalDpi="600" orientation="portrait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X185"/>
  <sheetViews>
    <sheetView view="pageBreakPreview" zoomScale="60" zoomScaleNormal="60" zoomScalePageLayoutView="0" workbookViewId="0" topLeftCell="A168">
      <selection activeCell="G142" sqref="G142:G173"/>
    </sheetView>
  </sheetViews>
  <sheetFormatPr defaultColWidth="9.140625" defaultRowHeight="15"/>
  <cols>
    <col min="1" max="1" width="5.7109375" style="134" customWidth="1"/>
    <col min="2" max="2" width="48.421875" style="134" customWidth="1"/>
    <col min="3" max="3" width="20.57421875" style="134" customWidth="1"/>
    <col min="4" max="4" width="19.421875" style="134" customWidth="1"/>
    <col min="5" max="5" width="24.7109375" style="134" customWidth="1"/>
    <col min="6" max="6" width="19.57421875" style="134" customWidth="1"/>
    <col min="7" max="7" width="21.57421875" style="134" customWidth="1"/>
    <col min="8" max="8" width="15.7109375" style="134" customWidth="1"/>
    <col min="9" max="9" width="17.140625" style="134" customWidth="1"/>
    <col min="10" max="10" width="21.140625" style="134" customWidth="1"/>
    <col min="11" max="11" width="9.7109375" style="134" bestFit="1" customWidth="1"/>
    <col min="12" max="12" width="25.8515625" style="134" customWidth="1"/>
    <col min="13" max="13" width="22.28125" style="134" customWidth="1"/>
    <col min="14" max="14" width="12.00390625" style="134" customWidth="1"/>
    <col min="15" max="17" width="9.140625" style="134" customWidth="1"/>
    <col min="18" max="18" width="13.7109375" style="134" bestFit="1" customWidth="1"/>
    <col min="19" max="19" width="13.421875" style="134" bestFit="1" customWidth="1"/>
    <col min="20" max="16384" width="9.140625" style="134" customWidth="1"/>
  </cols>
  <sheetData>
    <row r="1" ht="18.75">
      <c r="J1" s="219" t="s">
        <v>107</v>
      </c>
    </row>
    <row r="2" ht="18.75">
      <c r="J2" s="219" t="s">
        <v>108</v>
      </c>
    </row>
    <row r="3" ht="16.5">
      <c r="J3" s="220" t="s">
        <v>109</v>
      </c>
    </row>
    <row r="4" ht="16.5">
      <c r="J4" s="220" t="s">
        <v>110</v>
      </c>
    </row>
    <row r="5" ht="16.5">
      <c r="J5" s="220" t="s">
        <v>111</v>
      </c>
    </row>
    <row r="6" ht="16.5">
      <c r="J6" s="220" t="s">
        <v>112</v>
      </c>
    </row>
    <row r="7" ht="16.5">
      <c r="J7" s="220" t="s">
        <v>113</v>
      </c>
    </row>
    <row r="8" ht="16.5">
      <c r="J8" s="220" t="s">
        <v>114</v>
      </c>
    </row>
    <row r="11" spans="1:10" ht="15" customHeight="1">
      <c r="A11" s="402" t="s">
        <v>444</v>
      </c>
      <c r="B11" s="402"/>
      <c r="C11" s="402"/>
      <c r="D11" s="402"/>
      <c r="E11" s="402"/>
      <c r="F11" s="402"/>
      <c r="G11" s="402"/>
      <c r="H11" s="402"/>
      <c r="I11" s="402"/>
      <c r="J11" s="402"/>
    </row>
    <row r="12" spans="1:10" ht="18.75">
      <c r="A12" s="221" t="s">
        <v>413</v>
      </c>
      <c r="B12" s="221"/>
      <c r="C12" s="282"/>
      <c r="D12" s="221"/>
      <c r="E12" s="221"/>
      <c r="F12" s="221"/>
      <c r="G12" s="221"/>
      <c r="H12" s="221"/>
      <c r="I12" s="221"/>
      <c r="J12" s="221"/>
    </row>
    <row r="13" spans="1:10" ht="18.75">
      <c r="A13" s="402" t="s">
        <v>115</v>
      </c>
      <c r="B13" s="402"/>
      <c r="C13" s="402"/>
      <c r="D13" s="402"/>
      <c r="E13" s="402"/>
      <c r="F13" s="402"/>
      <c r="G13" s="402"/>
      <c r="H13" s="402"/>
      <c r="I13" s="402"/>
      <c r="J13" s="402"/>
    </row>
    <row r="14" spans="1:10" ht="15">
      <c r="A14" s="221"/>
      <c r="B14" s="221"/>
      <c r="C14" s="221"/>
      <c r="D14" s="221"/>
      <c r="E14" s="221"/>
      <c r="F14" s="221"/>
      <c r="G14" s="221"/>
      <c r="H14" s="221"/>
      <c r="I14" s="221"/>
      <c r="J14" s="221"/>
    </row>
    <row r="15" spans="1:10" ht="18.75">
      <c r="A15" s="403" t="s">
        <v>284</v>
      </c>
      <c r="B15" s="403"/>
      <c r="C15" s="403"/>
      <c r="D15" s="403"/>
      <c r="E15" s="403"/>
      <c r="F15" s="403"/>
      <c r="G15" s="403"/>
      <c r="H15" s="403"/>
      <c r="I15" s="403"/>
      <c r="J15" s="403"/>
    </row>
    <row r="16" spans="1:10" ht="21" customHeight="1">
      <c r="A16" s="403" t="s">
        <v>285</v>
      </c>
      <c r="B16" s="403"/>
      <c r="C16" s="403"/>
      <c r="D16" s="403"/>
      <c r="E16" s="403"/>
      <c r="F16" s="403"/>
      <c r="G16" s="403"/>
      <c r="H16" s="403"/>
      <c r="I16" s="403"/>
      <c r="J16" s="403"/>
    </row>
    <row r="17" ht="18.75">
      <c r="A17" s="184"/>
    </row>
    <row r="18" spans="1:10" ht="18.75">
      <c r="A18" s="402" t="s">
        <v>116</v>
      </c>
      <c r="B18" s="402"/>
      <c r="C18" s="402"/>
      <c r="D18" s="402"/>
      <c r="E18" s="402"/>
      <c r="F18" s="402"/>
      <c r="G18" s="402"/>
      <c r="H18" s="402"/>
      <c r="I18" s="402"/>
      <c r="J18" s="402"/>
    </row>
    <row r="19" ht="15.75" thickBot="1"/>
    <row r="20" spans="1:12" ht="36" customHeight="1" thickBot="1">
      <c r="A20" s="371" t="s">
        <v>0</v>
      </c>
      <c r="B20" s="371" t="s">
        <v>117</v>
      </c>
      <c r="C20" s="371" t="s">
        <v>334</v>
      </c>
      <c r="D20" s="405" t="s">
        <v>118</v>
      </c>
      <c r="E20" s="406"/>
      <c r="F20" s="406"/>
      <c r="G20" s="407"/>
      <c r="H20" s="371" t="s">
        <v>119</v>
      </c>
      <c r="I20" s="371" t="s">
        <v>120</v>
      </c>
      <c r="J20" s="371" t="s">
        <v>335</v>
      </c>
      <c r="L20" s="218"/>
    </row>
    <row r="21" spans="1:10" ht="19.5" thickBot="1">
      <c r="A21" s="404"/>
      <c r="B21" s="404"/>
      <c r="C21" s="404"/>
      <c r="D21" s="371" t="s">
        <v>121</v>
      </c>
      <c r="E21" s="405" t="s">
        <v>22</v>
      </c>
      <c r="F21" s="406"/>
      <c r="G21" s="407"/>
      <c r="H21" s="404"/>
      <c r="I21" s="404"/>
      <c r="J21" s="404"/>
    </row>
    <row r="22" spans="1:10" ht="77.25" customHeight="1" thickBot="1">
      <c r="A22" s="372"/>
      <c r="B22" s="372"/>
      <c r="C22" s="372"/>
      <c r="D22" s="372"/>
      <c r="E22" s="112" t="s">
        <v>122</v>
      </c>
      <c r="F22" s="112" t="s">
        <v>123</v>
      </c>
      <c r="G22" s="112" t="s">
        <v>124</v>
      </c>
      <c r="H22" s="372"/>
      <c r="I22" s="372"/>
      <c r="J22" s="372"/>
    </row>
    <row r="23" spans="1:17" ht="19.5" thickBot="1">
      <c r="A23" s="305">
        <v>1</v>
      </c>
      <c r="B23" s="112">
        <v>2</v>
      </c>
      <c r="C23" s="112">
        <v>3</v>
      </c>
      <c r="D23" s="112">
        <v>4</v>
      </c>
      <c r="E23" s="112">
        <v>5</v>
      </c>
      <c r="F23" s="112">
        <v>6</v>
      </c>
      <c r="G23" s="112">
        <v>7</v>
      </c>
      <c r="H23" s="112">
        <v>8</v>
      </c>
      <c r="I23" s="112">
        <v>9</v>
      </c>
      <c r="J23" s="112">
        <v>10</v>
      </c>
      <c r="K23" s="272"/>
      <c r="L23" s="273"/>
      <c r="M23" s="272"/>
      <c r="N23" s="272"/>
      <c r="O23" s="272"/>
      <c r="P23" s="272"/>
      <c r="Q23" s="272"/>
    </row>
    <row r="24" spans="1:24" ht="38.25" customHeight="1" thickBot="1">
      <c r="A24" s="305"/>
      <c r="B24" s="305" t="s">
        <v>286</v>
      </c>
      <c r="C24" s="112">
        <v>4</v>
      </c>
      <c r="D24" s="113">
        <f aca="true" t="shared" si="0" ref="D24:D30">E24+F24+G24</f>
        <v>40745.19230769231</v>
      </c>
      <c r="E24" s="113">
        <f>92672/C24</f>
        <v>23168</v>
      </c>
      <c r="F24" s="113"/>
      <c r="G24" s="113">
        <f>E24*L24+7443.01306089743-1449.82075320512</f>
        <v>17577.19230769231</v>
      </c>
      <c r="H24" s="113"/>
      <c r="I24" s="113">
        <v>1.6</v>
      </c>
      <c r="J24" s="113">
        <f aca="true" t="shared" si="1" ref="J24:J30">((D24*I24)+(D24))*C24*12</f>
        <v>5085000.000000001</v>
      </c>
      <c r="K24" s="230"/>
      <c r="L24" s="227">
        <v>0.5</v>
      </c>
      <c r="M24" s="229">
        <f>5085000</f>
        <v>5085000</v>
      </c>
      <c r="N24" s="294">
        <f>M24-J24</f>
        <v>0</v>
      </c>
      <c r="O24" s="242">
        <f>N24/2.6/12/C24</f>
        <v>0</v>
      </c>
      <c r="P24" s="227">
        <f aca="true" t="shared" si="2" ref="P24:P29">D24*2.6</f>
        <v>105937.50000000001</v>
      </c>
      <c r="Q24" s="227"/>
      <c r="R24" s="227"/>
      <c r="S24" s="227"/>
      <c r="T24" s="227"/>
      <c r="U24" s="227"/>
      <c r="V24" s="227"/>
      <c r="W24" s="227"/>
      <c r="X24" s="227"/>
    </row>
    <row r="25" spans="1:24" ht="38.25" customHeight="1" thickBot="1">
      <c r="A25" s="305"/>
      <c r="B25" s="305" t="s">
        <v>460</v>
      </c>
      <c r="C25" s="112">
        <v>37.67</v>
      </c>
      <c r="D25" s="113">
        <f t="shared" si="0"/>
        <v>14625.861623886245</v>
      </c>
      <c r="E25" s="113">
        <f>383317.9844/C25</f>
        <v>10175.683153703212</v>
      </c>
      <c r="F25" s="113"/>
      <c r="G25" s="113">
        <f>E25*L25+E25*0.2+2800.16188396567-480.77146616809</f>
        <v>4450.178470183032</v>
      </c>
      <c r="H25" s="222"/>
      <c r="I25" s="113">
        <v>1.6</v>
      </c>
      <c r="J25" s="113">
        <f t="shared" si="1"/>
        <v>17189833.67</v>
      </c>
      <c r="K25" s="230"/>
      <c r="L25" s="227">
        <f>0.0094</f>
        <v>0.0094</v>
      </c>
      <c r="M25" s="229">
        <f>12189833.67+5000000</f>
        <v>17189833.67</v>
      </c>
      <c r="N25" s="294">
        <f>M25-J25</f>
        <v>0</v>
      </c>
      <c r="O25" s="311">
        <f>N25/12/2.6/C25</f>
        <v>0</v>
      </c>
      <c r="P25" s="227">
        <f t="shared" si="2"/>
        <v>38027.240222104236</v>
      </c>
      <c r="Q25" s="227"/>
      <c r="R25" s="227"/>
      <c r="S25" s="227"/>
      <c r="T25" s="227"/>
      <c r="U25" s="227"/>
      <c r="V25" s="227"/>
      <c r="W25" s="227"/>
      <c r="X25" s="227"/>
    </row>
    <row r="26" spans="1:24" ht="38.25" customHeight="1" thickBot="1">
      <c r="A26" s="305"/>
      <c r="B26" s="305" t="s">
        <v>461</v>
      </c>
      <c r="C26" s="112">
        <v>2.75</v>
      </c>
      <c r="D26" s="113">
        <f>E26+F26+G26</f>
        <v>18139.38752913753</v>
      </c>
      <c r="E26" s="113">
        <f>27554.19/C26</f>
        <v>10019.705454545454</v>
      </c>
      <c r="F26" s="113"/>
      <c r="G26" s="113">
        <f>E26*L26+E26*0.2+1629.20384770163+4392.35190470863</f>
        <v>8119.682074592078</v>
      </c>
      <c r="H26" s="222"/>
      <c r="I26" s="113">
        <v>1.6</v>
      </c>
      <c r="J26" s="113">
        <f t="shared" si="1"/>
        <v>1556359.45</v>
      </c>
      <c r="K26" s="231"/>
      <c r="L26" s="227">
        <f>0.0094</f>
        <v>0.0094</v>
      </c>
      <c r="M26" s="218">
        <f>1556359.45</f>
        <v>1556359.45</v>
      </c>
      <c r="N26" s="294">
        <f>M26-J26</f>
        <v>0</v>
      </c>
      <c r="O26" s="242">
        <f>N26/12/2.6/C26</f>
        <v>0</v>
      </c>
      <c r="P26" s="227">
        <f t="shared" si="2"/>
        <v>47162.40757575758</v>
      </c>
      <c r="Q26" s="227"/>
      <c r="R26" s="227"/>
      <c r="S26" s="227"/>
      <c r="T26" s="227"/>
      <c r="U26" s="227"/>
      <c r="V26" s="227"/>
      <c r="W26" s="227"/>
      <c r="X26" s="227"/>
    </row>
    <row r="27" spans="1:24" ht="38.25" customHeight="1" thickBot="1">
      <c r="A27" s="223"/>
      <c r="B27" s="305" t="s">
        <v>462</v>
      </c>
      <c r="C27" s="112">
        <v>7.42</v>
      </c>
      <c r="D27" s="113">
        <f t="shared" si="0"/>
        <v>10025.144365958442</v>
      </c>
      <c r="E27" s="113">
        <f>43831.9/C27</f>
        <v>5907.264150943396</v>
      </c>
      <c r="F27" s="113"/>
      <c r="G27" s="113">
        <f>E27*L27+2000+345.700969732027</f>
        <v>4117.880215015046</v>
      </c>
      <c r="H27" s="113"/>
      <c r="I27" s="113">
        <v>1.6</v>
      </c>
      <c r="J27" s="113">
        <f t="shared" si="1"/>
        <v>2320861.0212968434</v>
      </c>
      <c r="K27" s="232"/>
      <c r="L27" s="227">
        <v>0.3</v>
      </c>
      <c r="M27" s="229">
        <f>9293374.81+3000000+827137.14</f>
        <v>13120511.950000001</v>
      </c>
      <c r="N27" s="294">
        <f>M27-J27-J29</f>
        <v>0</v>
      </c>
      <c r="O27" s="243">
        <f>N27/12/2.6/C29</f>
        <v>0</v>
      </c>
      <c r="P27" s="227">
        <f t="shared" si="2"/>
        <v>26065.37535149195</v>
      </c>
      <c r="Q27" s="227"/>
      <c r="R27" s="227"/>
      <c r="S27" s="244"/>
      <c r="T27" s="227"/>
      <c r="U27" s="227"/>
      <c r="V27" s="227"/>
      <c r="W27" s="227"/>
      <c r="X27" s="227"/>
    </row>
    <row r="28" spans="1:24" ht="27" customHeight="1" thickBot="1">
      <c r="A28" s="223"/>
      <c r="B28" s="305" t="s">
        <v>463</v>
      </c>
      <c r="C28" s="112">
        <v>2.1</v>
      </c>
      <c r="D28" s="113">
        <f t="shared" si="0"/>
        <v>16928.550297024813</v>
      </c>
      <c r="E28" s="113">
        <f>11919.35/C28</f>
        <v>5675.880952380952</v>
      </c>
      <c r="F28" s="113"/>
      <c r="G28" s="113">
        <f>E28*L28+3200.00000000004+6000+988.029820834297-638.12476190476</f>
        <v>11252.669344643862</v>
      </c>
      <c r="H28" s="113"/>
      <c r="I28" s="113">
        <v>1.6</v>
      </c>
      <c r="J28" s="113">
        <f t="shared" si="1"/>
        <v>1109158.615461066</v>
      </c>
      <c r="K28" s="233"/>
      <c r="L28" s="227">
        <v>0.3</v>
      </c>
      <c r="M28" s="229">
        <f>2410515.57</f>
        <v>2410515.57</v>
      </c>
      <c r="N28" s="294">
        <f>M28-J28-J30</f>
        <v>0</v>
      </c>
      <c r="O28" s="243">
        <f>N28/12/2.6/C28</f>
        <v>0</v>
      </c>
      <c r="P28" s="227">
        <f t="shared" si="2"/>
        <v>44014.23077226451</v>
      </c>
      <c r="Q28" s="227"/>
      <c r="R28" s="227"/>
      <c r="S28" s="227"/>
      <c r="T28" s="227"/>
      <c r="U28" s="227"/>
      <c r="V28" s="227"/>
      <c r="W28" s="227"/>
      <c r="X28" s="227"/>
    </row>
    <row r="29" spans="1:17" ht="19.5" thickBot="1">
      <c r="A29" s="223"/>
      <c r="B29" s="305" t="s">
        <v>464</v>
      </c>
      <c r="C29" s="112">
        <v>46.55</v>
      </c>
      <c r="D29" s="113">
        <f t="shared" si="0"/>
        <v>7435.932502067779</v>
      </c>
      <c r="E29" s="149">
        <f>155703.8/C29</f>
        <v>3344.872180451128</v>
      </c>
      <c r="F29" s="149"/>
      <c r="G29" s="113">
        <f>E29*L29+1793.54025833815+290.596755007824</f>
        <v>4091.0603216166505</v>
      </c>
      <c r="H29" s="112"/>
      <c r="I29" s="113">
        <v>1.6</v>
      </c>
      <c r="J29" s="113">
        <f t="shared" si="1"/>
        <v>10799650.92870316</v>
      </c>
      <c r="K29" s="272"/>
      <c r="L29" s="227">
        <v>0.6</v>
      </c>
      <c r="M29" s="271"/>
      <c r="N29" s="270"/>
      <c r="O29" s="270"/>
      <c r="P29" s="272">
        <f t="shared" si="2"/>
        <v>19333.424505376224</v>
      </c>
      <c r="Q29" s="272"/>
    </row>
    <row r="30" spans="1:17" ht="19.5" thickBot="1">
      <c r="A30" s="223"/>
      <c r="B30" s="305" t="s">
        <v>465</v>
      </c>
      <c r="C30" s="112">
        <v>2.67</v>
      </c>
      <c r="D30" s="113">
        <f t="shared" si="0"/>
        <v>15621.782321844496</v>
      </c>
      <c r="E30" s="149">
        <f>10594.65/C30</f>
        <v>3968.0337078651687</v>
      </c>
      <c r="F30" s="149"/>
      <c r="G30" s="113">
        <f>E30*L30+1012.29945+260.628939260226+400+100+7500</f>
        <v>11653.748613979327</v>
      </c>
      <c r="H30" s="112"/>
      <c r="I30" s="113">
        <v>1.6</v>
      </c>
      <c r="J30" s="113">
        <f t="shared" si="1"/>
        <v>1301356.9545389337</v>
      </c>
      <c r="K30" s="272"/>
      <c r="L30" s="227">
        <v>0.6</v>
      </c>
      <c r="M30" s="229">
        <f>SUM(M24:M28)</f>
        <v>39362220.64</v>
      </c>
      <c r="N30" s="272"/>
      <c r="O30" s="272"/>
      <c r="P30" s="272"/>
      <c r="Q30" s="272"/>
    </row>
    <row r="31" spans="1:17" ht="29.25" customHeight="1" thickBot="1">
      <c r="A31" s="409" t="s">
        <v>125</v>
      </c>
      <c r="B31" s="410"/>
      <c r="C31" s="226">
        <f>SUM(C24:C30)</f>
        <v>103.16000000000001</v>
      </c>
      <c r="D31" s="226">
        <f>SUM(D24:D30)</f>
        <v>123521.85094761162</v>
      </c>
      <c r="E31" s="226">
        <f>SUM(E24:E30)</f>
        <v>62259.439599889316</v>
      </c>
      <c r="F31" s="226"/>
      <c r="G31" s="226">
        <f>SUM(G24:G30)</f>
        <v>61262.41134772231</v>
      </c>
      <c r="H31" s="226"/>
      <c r="I31" s="226"/>
      <c r="J31" s="210">
        <f>SUM(J24:J30)</f>
        <v>39362220.64000001</v>
      </c>
      <c r="K31" s="272"/>
      <c r="L31" s="273"/>
      <c r="M31" s="317">
        <f>39362220.64-M30</f>
        <v>0</v>
      </c>
      <c r="N31" s="272"/>
      <c r="O31" s="272"/>
      <c r="P31" s="272"/>
      <c r="Q31" s="272"/>
    </row>
    <row r="32" spans="1:17" ht="29.25" customHeight="1">
      <c r="A32" s="312"/>
      <c r="B32" s="312"/>
      <c r="C32" s="313"/>
      <c r="D32" s="313"/>
      <c r="E32" s="313"/>
      <c r="F32" s="313"/>
      <c r="G32" s="313"/>
      <c r="H32" s="314"/>
      <c r="I32" s="313"/>
      <c r="J32" s="315"/>
      <c r="K32" s="272"/>
      <c r="L32" s="273"/>
      <c r="M32" s="275"/>
      <c r="N32" s="272"/>
      <c r="O32" s="272"/>
      <c r="P32" s="272"/>
      <c r="Q32" s="272"/>
    </row>
    <row r="33" spans="1:17" ht="18.75">
      <c r="A33" s="408" t="s">
        <v>170</v>
      </c>
      <c r="B33" s="408"/>
      <c r="C33" s="408"/>
      <c r="D33" s="408"/>
      <c r="E33" s="408"/>
      <c r="F33" s="408"/>
      <c r="K33" s="272"/>
      <c r="L33" s="273"/>
      <c r="M33" s="272"/>
      <c r="N33" s="272"/>
      <c r="O33" s="272"/>
      <c r="P33" s="272"/>
      <c r="Q33" s="272"/>
    </row>
    <row r="34" spans="1:17" ht="19.5" thickBot="1">
      <c r="A34" s="306"/>
      <c r="B34" s="306"/>
      <c r="C34" s="306"/>
      <c r="D34" s="306"/>
      <c r="E34" s="306"/>
      <c r="F34" s="306"/>
      <c r="K34" s="272"/>
      <c r="L34" s="273"/>
      <c r="M34" s="272"/>
      <c r="N34" s="272"/>
      <c r="O34" s="272"/>
      <c r="P34" s="272"/>
      <c r="Q34" s="272"/>
    </row>
    <row r="35" spans="1:17" ht="99" customHeight="1" thickBot="1">
      <c r="A35" s="136" t="s">
        <v>0</v>
      </c>
      <c r="B35" s="284" t="s">
        <v>127</v>
      </c>
      <c r="C35" s="177" t="s">
        <v>128</v>
      </c>
      <c r="D35" s="177" t="s">
        <v>129</v>
      </c>
      <c r="E35" s="177" t="s">
        <v>130</v>
      </c>
      <c r="F35" s="177" t="s">
        <v>396</v>
      </c>
      <c r="K35" s="272"/>
      <c r="L35" s="273"/>
      <c r="M35" s="272"/>
      <c r="N35" s="272"/>
      <c r="O35" s="272"/>
      <c r="P35" s="272"/>
      <c r="Q35" s="272"/>
    </row>
    <row r="36" spans="1:17" ht="19.5" thickBot="1">
      <c r="A36" s="281">
        <v>1</v>
      </c>
      <c r="B36" s="112">
        <v>2</v>
      </c>
      <c r="C36" s="112">
        <v>3</v>
      </c>
      <c r="D36" s="112">
        <v>4</v>
      </c>
      <c r="E36" s="112">
        <v>5</v>
      </c>
      <c r="F36" s="112">
        <v>6</v>
      </c>
      <c r="J36" s="218"/>
      <c r="K36" s="272"/>
      <c r="L36" s="272"/>
      <c r="M36" s="272"/>
      <c r="N36" s="273"/>
      <c r="O36" s="272"/>
      <c r="P36" s="272"/>
      <c r="Q36" s="272"/>
    </row>
    <row r="37" spans="1:13" ht="39.75" customHeight="1" thickBot="1">
      <c r="A37" s="281">
        <v>1</v>
      </c>
      <c r="B37" s="112"/>
      <c r="C37" s="149">
        <v>0</v>
      </c>
      <c r="D37" s="149">
        <v>0</v>
      </c>
      <c r="E37" s="149">
        <v>0</v>
      </c>
      <c r="F37" s="149">
        <f>C37*D37*E37</f>
        <v>0</v>
      </c>
      <c r="M37" s="218"/>
    </row>
    <row r="38" spans="1:13" ht="19.5" thickBot="1">
      <c r="A38" s="281"/>
      <c r="B38" s="140" t="s">
        <v>125</v>
      </c>
      <c r="C38" s="141" t="s">
        <v>126</v>
      </c>
      <c r="D38" s="141" t="s">
        <v>126</v>
      </c>
      <c r="E38" s="141" t="s">
        <v>126</v>
      </c>
      <c r="F38" s="226">
        <f>F37</f>
        <v>0</v>
      </c>
      <c r="L38" s="278"/>
      <c r="M38" s="218"/>
    </row>
    <row r="39" ht="15">
      <c r="L39" s="143"/>
    </row>
    <row r="40" spans="1:6" ht="18.75">
      <c r="A40" s="408" t="s">
        <v>171</v>
      </c>
      <c r="B40" s="408"/>
      <c r="C40" s="408"/>
      <c r="D40" s="408"/>
      <c r="E40" s="408"/>
      <c r="F40" s="408"/>
    </row>
    <row r="41" ht="15.75" thickBot="1"/>
    <row r="42" spans="1:6" ht="90" customHeight="1" thickBot="1">
      <c r="A42" s="136" t="s">
        <v>0</v>
      </c>
      <c r="B42" s="284" t="s">
        <v>127</v>
      </c>
      <c r="C42" s="177" t="s">
        <v>132</v>
      </c>
      <c r="D42" s="177" t="s">
        <v>133</v>
      </c>
      <c r="E42" s="177" t="s">
        <v>134</v>
      </c>
      <c r="F42" s="177" t="s">
        <v>396</v>
      </c>
    </row>
    <row r="43" spans="1:6" ht="19.5" thickBot="1">
      <c r="A43" s="281">
        <v>1</v>
      </c>
      <c r="B43" s="112">
        <v>2</v>
      </c>
      <c r="C43" s="112">
        <v>3</v>
      </c>
      <c r="D43" s="112">
        <v>4</v>
      </c>
      <c r="E43" s="112">
        <v>5</v>
      </c>
      <c r="F43" s="112">
        <v>6</v>
      </c>
    </row>
    <row r="44" spans="1:6" ht="42.75" customHeight="1" thickBot="1">
      <c r="A44" s="281">
        <v>1</v>
      </c>
      <c r="B44" s="112" t="s">
        <v>290</v>
      </c>
      <c r="C44" s="112">
        <v>5</v>
      </c>
      <c r="D44" s="112">
        <v>12</v>
      </c>
      <c r="E44" s="149">
        <v>90</v>
      </c>
      <c r="F44" s="139">
        <f>C44*D44*E44</f>
        <v>5400</v>
      </c>
    </row>
    <row r="45" spans="1:6" ht="19.5" thickBot="1">
      <c r="A45" s="281"/>
      <c r="B45" s="140" t="s">
        <v>125</v>
      </c>
      <c r="C45" s="141" t="s">
        <v>126</v>
      </c>
      <c r="D45" s="141" t="s">
        <v>126</v>
      </c>
      <c r="E45" s="141" t="s">
        <v>126</v>
      </c>
      <c r="F45" s="142">
        <f>F44</f>
        <v>5400</v>
      </c>
    </row>
    <row r="47" spans="1:7" ht="93.75" customHeight="1" thickBot="1">
      <c r="A47" s="408" t="s">
        <v>172</v>
      </c>
      <c r="B47" s="408"/>
      <c r="C47" s="408"/>
      <c r="D47" s="408"/>
      <c r="E47" s="408"/>
      <c r="F47" s="408"/>
      <c r="G47" s="408"/>
    </row>
    <row r="48" ht="27" customHeight="1" hidden="1" thickBot="1"/>
    <row r="49" spans="1:4" ht="75" customHeight="1" thickBot="1">
      <c r="A49" s="136" t="s">
        <v>0</v>
      </c>
      <c r="B49" s="177" t="s">
        <v>135</v>
      </c>
      <c r="C49" s="177" t="s">
        <v>136</v>
      </c>
      <c r="D49" s="177" t="s">
        <v>137</v>
      </c>
    </row>
    <row r="50" spans="1:4" ht="19.5" thickBot="1">
      <c r="A50" s="281">
        <v>1</v>
      </c>
      <c r="B50" s="112">
        <v>2</v>
      </c>
      <c r="C50" s="112">
        <v>3</v>
      </c>
      <c r="D50" s="112">
        <v>4</v>
      </c>
    </row>
    <row r="51" spans="1:4" ht="65.25" customHeight="1" thickBot="1">
      <c r="A51" s="281">
        <v>1</v>
      </c>
      <c r="B51" s="150" t="s">
        <v>138</v>
      </c>
      <c r="C51" s="112" t="s">
        <v>126</v>
      </c>
      <c r="D51" s="113">
        <f>D52+D54</f>
        <v>11796439.623532195</v>
      </c>
    </row>
    <row r="52" spans="1:4" ht="18.75">
      <c r="A52" s="371" t="s">
        <v>139</v>
      </c>
      <c r="B52" s="178" t="s">
        <v>22</v>
      </c>
      <c r="C52" s="371"/>
      <c r="D52" s="367">
        <f>11887390.63-D55-D56</f>
        <v>11796439.623532195</v>
      </c>
    </row>
    <row r="53" spans="1:12" ht="44.25" customHeight="1" thickBot="1">
      <c r="A53" s="372"/>
      <c r="B53" s="179" t="s">
        <v>140</v>
      </c>
      <c r="C53" s="372"/>
      <c r="D53" s="368"/>
      <c r="L53" s="134">
        <f>J28*0.302</f>
        <v>334965.9018692419</v>
      </c>
    </row>
    <row r="54" spans="1:4" ht="51" customHeight="1" thickBot="1">
      <c r="A54" s="281" t="s">
        <v>141</v>
      </c>
      <c r="B54" s="180" t="s">
        <v>142</v>
      </c>
      <c r="C54" s="112"/>
      <c r="D54" s="113"/>
    </row>
    <row r="55" spans="1:4" ht="75" customHeight="1" thickBot="1">
      <c r="A55" s="281">
        <v>2</v>
      </c>
      <c r="B55" s="150" t="s">
        <v>143</v>
      </c>
      <c r="C55" s="112" t="s">
        <v>126</v>
      </c>
      <c r="D55" s="113">
        <f>C56*3.1%</f>
        <v>34383.917079293045</v>
      </c>
    </row>
    <row r="56" spans="1:4" ht="81" customHeight="1" thickBot="1">
      <c r="A56" s="281">
        <v>3</v>
      </c>
      <c r="B56" s="150" t="s">
        <v>144</v>
      </c>
      <c r="C56" s="113">
        <f>J28</f>
        <v>1109158.615461066</v>
      </c>
      <c r="D56" s="113">
        <f>C56*5.1%</f>
        <v>56567.08938851436</v>
      </c>
    </row>
    <row r="57" spans="1:4" ht="39.75" customHeight="1" thickBot="1">
      <c r="A57" s="281"/>
      <c r="B57" s="140" t="s">
        <v>125</v>
      </c>
      <c r="C57" s="141" t="s">
        <v>126</v>
      </c>
      <c r="D57" s="163">
        <f>D52+D55+D56</f>
        <v>11887390.63</v>
      </c>
    </row>
    <row r="59" spans="1:6" ht="22.5" customHeight="1">
      <c r="A59" s="408" t="s">
        <v>173</v>
      </c>
      <c r="B59" s="408"/>
      <c r="C59" s="408"/>
      <c r="D59" s="408"/>
      <c r="E59" s="408"/>
      <c r="F59" s="408"/>
    </row>
    <row r="60" ht="5.25" customHeight="1"/>
    <row r="61" spans="1:6" ht="18.75">
      <c r="A61" s="411" t="s">
        <v>174</v>
      </c>
      <c r="B61" s="411"/>
      <c r="C61" s="411"/>
      <c r="D61" s="411"/>
      <c r="E61" s="411"/>
      <c r="F61" s="411"/>
    </row>
    <row r="62" spans="1:6" ht="18.75">
      <c r="A62" s="411" t="s">
        <v>175</v>
      </c>
      <c r="B62" s="411"/>
      <c r="C62" s="411"/>
      <c r="D62" s="411"/>
      <c r="E62" s="411"/>
      <c r="F62" s="411"/>
    </row>
    <row r="63" ht="1.5" customHeight="1" thickBot="1">
      <c r="A63" s="135"/>
    </row>
    <row r="64" spans="1:5" ht="51" customHeight="1" thickBot="1">
      <c r="A64" s="136" t="s">
        <v>0</v>
      </c>
      <c r="B64" s="284" t="s">
        <v>1</v>
      </c>
      <c r="C64" s="177" t="s">
        <v>145</v>
      </c>
      <c r="D64" s="177" t="s">
        <v>146</v>
      </c>
      <c r="E64" s="177" t="s">
        <v>397</v>
      </c>
    </row>
    <row r="65" spans="1:5" ht="19.5" thickBot="1">
      <c r="A65" s="281">
        <v>1</v>
      </c>
      <c r="B65" s="112">
        <v>2</v>
      </c>
      <c r="C65" s="112">
        <v>3</v>
      </c>
      <c r="D65" s="112">
        <v>4</v>
      </c>
      <c r="E65" s="112">
        <v>5</v>
      </c>
    </row>
    <row r="66" spans="1:5" ht="19.5" thickBot="1">
      <c r="A66" s="281"/>
      <c r="B66" s="112"/>
      <c r="C66" s="112"/>
      <c r="D66" s="112"/>
      <c r="E66" s="112"/>
    </row>
    <row r="67" spans="1:5" ht="19.5" thickBot="1">
      <c r="A67" s="281"/>
      <c r="B67" s="140" t="s">
        <v>125</v>
      </c>
      <c r="C67" s="141" t="s">
        <v>126</v>
      </c>
      <c r="D67" s="141" t="s">
        <v>126</v>
      </c>
      <c r="E67" s="141"/>
    </row>
    <row r="70" spans="1:7" ht="18.75">
      <c r="A70" s="402" t="s">
        <v>176</v>
      </c>
      <c r="B70" s="402"/>
      <c r="C70" s="402"/>
      <c r="D70" s="402"/>
      <c r="E70" s="402"/>
      <c r="F70" s="402"/>
      <c r="G70" s="402"/>
    </row>
    <row r="71" ht="13.5" customHeight="1">
      <c r="A71" s="285"/>
    </row>
    <row r="72" ht="18.75">
      <c r="A72" s="135"/>
    </row>
    <row r="73" spans="1:7" ht="18.75">
      <c r="A73" s="411" t="s">
        <v>392</v>
      </c>
      <c r="B73" s="411"/>
      <c r="C73" s="411"/>
      <c r="D73" s="411"/>
      <c r="E73" s="411"/>
      <c r="F73" s="411"/>
      <c r="G73" s="411"/>
    </row>
    <row r="74" spans="1:7" ht="18.75">
      <c r="A74" s="411" t="s">
        <v>292</v>
      </c>
      <c r="B74" s="411"/>
      <c r="C74" s="411"/>
      <c r="D74" s="411"/>
      <c r="E74" s="411"/>
      <c r="F74" s="411"/>
      <c r="G74" s="411"/>
    </row>
    <row r="75" ht="0.75" customHeight="1" thickBot="1">
      <c r="A75" s="135"/>
    </row>
    <row r="76" spans="1:5" ht="72.75" customHeight="1" thickBot="1">
      <c r="A76" s="136" t="s">
        <v>0</v>
      </c>
      <c r="B76" s="177" t="s">
        <v>127</v>
      </c>
      <c r="C76" s="177" t="s">
        <v>148</v>
      </c>
      <c r="D76" s="177" t="s">
        <v>149</v>
      </c>
      <c r="E76" s="177" t="s">
        <v>398</v>
      </c>
    </row>
    <row r="77" spans="1:5" ht="19.5" thickBot="1">
      <c r="A77" s="281">
        <v>1</v>
      </c>
      <c r="B77" s="112">
        <v>2</v>
      </c>
      <c r="C77" s="112">
        <v>3</v>
      </c>
      <c r="D77" s="112">
        <v>4</v>
      </c>
      <c r="E77" s="112">
        <v>5</v>
      </c>
    </row>
    <row r="78" spans="1:24" ht="19.5" thickBot="1">
      <c r="A78" s="281">
        <v>1</v>
      </c>
      <c r="B78" s="112" t="s">
        <v>293</v>
      </c>
      <c r="C78" s="139">
        <v>41220545.454546</v>
      </c>
      <c r="D78" s="139">
        <v>2.2</v>
      </c>
      <c r="E78" s="182">
        <f>(C78*D78)/100</f>
        <v>906852.0000000121</v>
      </c>
      <c r="F78" s="143"/>
      <c r="H78" s="183"/>
      <c r="K78" s="227"/>
      <c r="L78" s="207">
        <f>906852*100/D78</f>
        <v>41220545.45454545</v>
      </c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>
        <f>105614.75/0.022</f>
        <v>4800670.454545455</v>
      </c>
    </row>
    <row r="79" spans="1:24" ht="27" customHeight="1" thickBot="1">
      <c r="A79" s="281">
        <v>2</v>
      </c>
      <c r="B79" s="112" t="s">
        <v>294</v>
      </c>
      <c r="C79" s="139">
        <v>738783.33333333</v>
      </c>
      <c r="D79" s="139">
        <v>1.5</v>
      </c>
      <c r="E79" s="182">
        <f>C79*D79</f>
        <v>1108174.9999999949</v>
      </c>
      <c r="F79" s="143"/>
      <c r="K79" s="227"/>
      <c r="L79" s="286">
        <f>1108175/D79</f>
        <v>738783.3333333334</v>
      </c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</row>
    <row r="80" spans="1:24" ht="27" customHeight="1" thickBot="1">
      <c r="A80" s="281">
        <v>3</v>
      </c>
      <c r="B80" s="112" t="s">
        <v>382</v>
      </c>
      <c r="C80" s="139">
        <v>17170</v>
      </c>
      <c r="D80" s="139"/>
      <c r="E80" s="182">
        <f>C80</f>
        <v>17170</v>
      </c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</row>
    <row r="81" spans="1:24" ht="27" customHeight="1" hidden="1" thickBot="1">
      <c r="A81" s="281">
        <v>4</v>
      </c>
      <c r="B81" s="112" t="s">
        <v>437</v>
      </c>
      <c r="C81" s="139"/>
      <c r="D81" s="139"/>
      <c r="E81" s="182"/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</row>
    <row r="82" spans="1:24" ht="27" customHeight="1" hidden="1" thickBot="1">
      <c r="A82" s="281">
        <v>4</v>
      </c>
      <c r="B82" s="112" t="s">
        <v>358</v>
      </c>
      <c r="C82" s="139"/>
      <c r="D82" s="139"/>
      <c r="E82" s="182"/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</row>
    <row r="83" spans="1:24" ht="19.5" thickBot="1">
      <c r="A83" s="281"/>
      <c r="B83" s="140" t="s">
        <v>125</v>
      </c>
      <c r="C83" s="142"/>
      <c r="D83" s="142" t="s">
        <v>126</v>
      </c>
      <c r="E83" s="142">
        <f>SUM(E78:E82)</f>
        <v>2032197.000000007</v>
      </c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</row>
    <row r="85" spans="1:5" ht="18.75">
      <c r="A85" s="402" t="s">
        <v>295</v>
      </c>
      <c r="B85" s="402"/>
      <c r="C85" s="402"/>
      <c r="D85" s="402"/>
      <c r="E85" s="402"/>
    </row>
    <row r="86" ht="7.5" customHeight="1">
      <c r="A86" s="285"/>
    </row>
    <row r="87" ht="18.75">
      <c r="A87" s="184" t="s">
        <v>345</v>
      </c>
    </row>
    <row r="88" spans="1:7" ht="18.75">
      <c r="A88" s="283" t="s">
        <v>292</v>
      </c>
      <c r="B88" s="283"/>
      <c r="C88" s="283"/>
      <c r="D88" s="283"/>
      <c r="E88" s="283"/>
      <c r="F88" s="283"/>
      <c r="G88" s="283"/>
    </row>
    <row r="89" ht="18.75">
      <c r="A89" s="184"/>
    </row>
    <row r="90" spans="1:6" ht="18.75" customHeight="1">
      <c r="A90" s="402" t="s">
        <v>297</v>
      </c>
      <c r="B90" s="402"/>
      <c r="C90" s="402"/>
      <c r="D90" s="402"/>
      <c r="E90" s="402"/>
      <c r="F90" s="402"/>
    </row>
    <row r="91" ht="15.75" thickBot="1"/>
    <row r="92" spans="1:6" ht="57" thickBot="1">
      <c r="A92" s="136" t="s">
        <v>0</v>
      </c>
      <c r="B92" s="284" t="s">
        <v>127</v>
      </c>
      <c r="C92" s="284" t="s">
        <v>151</v>
      </c>
      <c r="D92" s="284" t="s">
        <v>152</v>
      </c>
      <c r="E92" s="284" t="s">
        <v>153</v>
      </c>
      <c r="F92" s="284" t="s">
        <v>131</v>
      </c>
    </row>
    <row r="93" spans="1:6" ht="19.5" thickBot="1">
      <c r="A93" s="281">
        <v>1</v>
      </c>
      <c r="B93" s="112">
        <v>2</v>
      </c>
      <c r="C93" s="112">
        <v>3</v>
      </c>
      <c r="D93" s="112">
        <v>4</v>
      </c>
      <c r="E93" s="112">
        <v>5</v>
      </c>
      <c r="F93" s="112">
        <v>6</v>
      </c>
    </row>
    <row r="94" spans="1:24" ht="25.5" customHeight="1" thickBot="1">
      <c r="A94" s="281">
        <v>1</v>
      </c>
      <c r="B94" s="112" t="s">
        <v>298</v>
      </c>
      <c r="C94" s="112">
        <v>1</v>
      </c>
      <c r="D94" s="112">
        <v>12</v>
      </c>
      <c r="E94" s="182">
        <v>6000</v>
      </c>
      <c r="F94" s="182">
        <f>E94*D94</f>
        <v>72000</v>
      </c>
      <c r="G94" s="143"/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</row>
    <row r="95" spans="1:6" ht="25.5" customHeight="1" hidden="1" thickBot="1">
      <c r="A95" s="281">
        <v>2</v>
      </c>
      <c r="B95" s="112" t="s">
        <v>385</v>
      </c>
      <c r="C95" s="112"/>
      <c r="D95" s="112"/>
      <c r="E95" s="182"/>
      <c r="F95" s="182">
        <f>E95*D95</f>
        <v>0</v>
      </c>
    </row>
    <row r="96" spans="1:6" ht="19.5" thickBot="1">
      <c r="A96" s="281"/>
      <c r="B96" s="140" t="s">
        <v>125</v>
      </c>
      <c r="C96" s="141" t="s">
        <v>126</v>
      </c>
      <c r="D96" s="141" t="s">
        <v>126</v>
      </c>
      <c r="E96" s="141" t="s">
        <v>126</v>
      </c>
      <c r="F96" s="142">
        <f>SUM(F94:F95)</f>
        <v>72000</v>
      </c>
    </row>
    <row r="98" spans="1:6" ht="24" customHeight="1">
      <c r="A98" s="402" t="s">
        <v>299</v>
      </c>
      <c r="B98" s="402"/>
      <c r="C98" s="402"/>
      <c r="D98" s="402"/>
      <c r="E98" s="402"/>
      <c r="F98" s="402"/>
    </row>
    <row r="99" ht="15.75" thickBot="1"/>
    <row r="100" spans="1:5" ht="57" thickBot="1">
      <c r="A100" s="136" t="s">
        <v>0</v>
      </c>
      <c r="B100" s="284" t="s">
        <v>127</v>
      </c>
      <c r="C100" s="284" t="s">
        <v>154</v>
      </c>
      <c r="D100" s="284" t="s">
        <v>155</v>
      </c>
      <c r="E100" s="284" t="s">
        <v>156</v>
      </c>
    </row>
    <row r="101" spans="1:5" ht="19.5" thickBot="1">
      <c r="A101" s="281">
        <v>1</v>
      </c>
      <c r="B101" s="112">
        <v>2</v>
      </c>
      <c r="C101" s="112">
        <v>3</v>
      </c>
      <c r="D101" s="112">
        <v>4</v>
      </c>
      <c r="E101" s="112">
        <v>5</v>
      </c>
    </row>
    <row r="102" spans="1:24" ht="19.5" thickBot="1">
      <c r="A102" s="281"/>
      <c r="B102" s="112" t="s">
        <v>451</v>
      </c>
      <c r="C102" s="113">
        <v>12</v>
      </c>
      <c r="D102" s="113">
        <v>63333.33333</v>
      </c>
      <c r="E102" s="113">
        <v>760000</v>
      </c>
      <c r="K102" s="227"/>
      <c r="L102" s="227"/>
      <c r="M102" s="227"/>
      <c r="N102" s="227"/>
      <c r="O102" s="227"/>
      <c r="P102" s="227"/>
      <c r="Q102" s="227"/>
      <c r="R102" s="227"/>
      <c r="S102" s="227"/>
      <c r="T102" s="227"/>
      <c r="U102" s="227"/>
      <c r="V102" s="227"/>
      <c r="W102" s="227"/>
      <c r="X102" s="227"/>
    </row>
    <row r="103" spans="1:5" ht="19.5" thickBot="1">
      <c r="A103" s="281"/>
      <c r="B103" s="185" t="s">
        <v>125</v>
      </c>
      <c r="C103" s="287">
        <f>C102</f>
        <v>12</v>
      </c>
      <c r="D103" s="287">
        <f>D102</f>
        <v>63333.33333</v>
      </c>
      <c r="E103" s="287">
        <f>E102</f>
        <v>760000</v>
      </c>
    </row>
    <row r="105" spans="1:6" ht="18.75">
      <c r="A105" s="402" t="s">
        <v>300</v>
      </c>
      <c r="B105" s="402"/>
      <c r="C105" s="402"/>
      <c r="D105" s="402"/>
      <c r="E105" s="402"/>
      <c r="F105" s="402"/>
    </row>
    <row r="106" ht="15.75" thickBot="1"/>
    <row r="107" spans="1:7" ht="57" thickBot="1">
      <c r="A107" s="136" t="s">
        <v>0</v>
      </c>
      <c r="B107" s="284" t="s">
        <v>1</v>
      </c>
      <c r="C107" s="284" t="s">
        <v>301</v>
      </c>
      <c r="D107" s="284" t="s">
        <v>302</v>
      </c>
      <c r="E107" s="284" t="s">
        <v>157</v>
      </c>
      <c r="F107" s="284" t="s">
        <v>158</v>
      </c>
      <c r="G107" s="284" t="s">
        <v>159</v>
      </c>
    </row>
    <row r="108" spans="1:7" ht="19.5" thickBot="1">
      <c r="A108" s="281">
        <v>1</v>
      </c>
      <c r="B108" s="112">
        <v>2</v>
      </c>
      <c r="C108" s="112">
        <v>3</v>
      </c>
      <c r="D108" s="112">
        <v>4</v>
      </c>
      <c r="E108" s="112">
        <v>5</v>
      </c>
      <c r="F108" s="112">
        <v>6</v>
      </c>
      <c r="G108" s="112">
        <v>7</v>
      </c>
    </row>
    <row r="109" spans="1:13" ht="22.5" customHeight="1" thickBot="1">
      <c r="A109" s="281">
        <v>1</v>
      </c>
      <c r="B109" s="281" t="s">
        <v>303</v>
      </c>
      <c r="C109" s="149" t="s">
        <v>304</v>
      </c>
      <c r="D109" s="149">
        <v>577.85</v>
      </c>
      <c r="E109" s="149">
        <v>7010.284312537856</v>
      </c>
      <c r="F109" s="112"/>
      <c r="G109" s="186">
        <f aca="true" t="shared" si="3" ref="G109:G114">E109*D109</f>
        <v>4050892.79</v>
      </c>
      <c r="H109" s="270"/>
      <c r="I109" s="270"/>
      <c r="J109" s="270"/>
      <c r="K109" s="134">
        <f>'[1]тепло'!$J$65</f>
        <v>577.85</v>
      </c>
      <c r="L109" s="134">
        <f>'[1]тепло'!$M$65*1000</f>
        <v>4050892.79</v>
      </c>
      <c r="M109" s="134">
        <f aca="true" t="shared" si="4" ref="M109:M114">L109/D109</f>
        <v>7010.284312537856</v>
      </c>
    </row>
    <row r="110" spans="1:13" ht="22.5" customHeight="1" thickBot="1">
      <c r="A110" s="281">
        <v>2</v>
      </c>
      <c r="B110" s="281" t="s">
        <v>305</v>
      </c>
      <c r="C110" s="149" t="s">
        <v>304</v>
      </c>
      <c r="D110" s="149">
        <v>35.19</v>
      </c>
      <c r="E110" s="149">
        <v>7062.387325944871</v>
      </c>
      <c r="F110" s="112"/>
      <c r="G110" s="186">
        <f t="shared" si="3"/>
        <v>248525.41</v>
      </c>
      <c r="H110" s="270"/>
      <c r="I110" s="270"/>
      <c r="J110" s="270"/>
      <c r="K110" s="134">
        <f>'[1]Тепло для ГВС'!$J$65</f>
        <v>35.19</v>
      </c>
      <c r="L110" s="134">
        <f>'[1]Тепло для ГВС'!$M$65*1000</f>
        <v>248525.41</v>
      </c>
      <c r="M110" s="134">
        <f t="shared" si="4"/>
        <v>7062.387325944871</v>
      </c>
    </row>
    <row r="111" spans="1:13" ht="22.5" customHeight="1" thickBot="1">
      <c r="A111" s="281">
        <v>3</v>
      </c>
      <c r="B111" s="281" t="s">
        <v>306</v>
      </c>
      <c r="C111" s="149" t="s">
        <v>331</v>
      </c>
      <c r="D111" s="149">
        <v>108629</v>
      </c>
      <c r="E111" s="149">
        <v>6.025200176748383</v>
      </c>
      <c r="F111" s="112"/>
      <c r="G111" s="186">
        <f t="shared" si="3"/>
        <v>654511.4700000001</v>
      </c>
      <c r="H111" s="270"/>
      <c r="I111" s="270"/>
      <c r="J111" s="270"/>
      <c r="K111" s="134">
        <f>'[1]электро'!$J$65*1000</f>
        <v>108629</v>
      </c>
      <c r="L111" s="134">
        <f>'[1]электро'!$M$65*1000</f>
        <v>654511.4700000001</v>
      </c>
      <c r="M111" s="134">
        <f t="shared" si="4"/>
        <v>6.025200176748383</v>
      </c>
    </row>
    <row r="112" spans="1:13" ht="22.5" customHeight="1" thickBot="1">
      <c r="A112" s="281">
        <v>4</v>
      </c>
      <c r="B112" s="281" t="s">
        <v>307</v>
      </c>
      <c r="C112" s="149" t="s">
        <v>308</v>
      </c>
      <c r="D112" s="149">
        <v>1497</v>
      </c>
      <c r="E112" s="149">
        <v>55.891843687374745</v>
      </c>
      <c r="F112" s="112"/>
      <c r="G112" s="186">
        <f t="shared" si="3"/>
        <v>83670.09</v>
      </c>
      <c r="H112" s="270"/>
      <c r="I112" s="270"/>
      <c r="J112" s="270"/>
      <c r="K112" s="218">
        <f>'[1]ХВС'!$J$65</f>
        <v>1497</v>
      </c>
      <c r="L112" s="218">
        <f>'[1]ХВС'!$M$65*1000</f>
        <v>83670.09</v>
      </c>
      <c r="M112" s="134">
        <f t="shared" si="4"/>
        <v>55.891843687374745</v>
      </c>
    </row>
    <row r="113" spans="1:13" ht="22.5" customHeight="1" thickBot="1">
      <c r="A113" s="281">
        <v>5</v>
      </c>
      <c r="B113" s="281" t="s">
        <v>309</v>
      </c>
      <c r="C113" s="149" t="s">
        <v>308</v>
      </c>
      <c r="D113" s="149">
        <v>2065.2799999999997</v>
      </c>
      <c r="E113" s="149">
        <v>41.972347575147204</v>
      </c>
      <c r="F113" s="112"/>
      <c r="G113" s="186">
        <f t="shared" si="3"/>
        <v>86684.65000000001</v>
      </c>
      <c r="H113" s="270"/>
      <c r="I113" s="270"/>
      <c r="J113" s="270"/>
      <c r="K113" s="218">
        <f>'[1]канал'!$J$65</f>
        <v>2065.2799999999997</v>
      </c>
      <c r="L113" s="134">
        <f>'[1]канал'!$M$65*1000</f>
        <v>86684.65000000001</v>
      </c>
      <c r="M113" s="134">
        <f t="shared" si="4"/>
        <v>41.972347575147204</v>
      </c>
    </row>
    <row r="114" spans="1:13" ht="22.5" customHeight="1" thickBot="1">
      <c r="A114" s="281">
        <v>6</v>
      </c>
      <c r="B114" s="281" t="s">
        <v>310</v>
      </c>
      <c r="C114" s="149" t="s">
        <v>308</v>
      </c>
      <c r="D114" s="149">
        <v>568.28</v>
      </c>
      <c r="E114" s="149">
        <v>55.89118040402619</v>
      </c>
      <c r="F114" s="112"/>
      <c r="G114" s="186">
        <f t="shared" si="3"/>
        <v>31761.84</v>
      </c>
      <c r="H114" s="270"/>
      <c r="I114" s="270"/>
      <c r="J114" s="270"/>
      <c r="K114" s="134">
        <f>'[1]ХВС для ГВС'!$J$65</f>
        <v>568.28</v>
      </c>
      <c r="L114" s="134">
        <f>'[1]ХВС для ГВС'!$M$65*1000</f>
        <v>31761.84</v>
      </c>
      <c r="M114" s="134">
        <f t="shared" si="4"/>
        <v>55.89118040402619</v>
      </c>
    </row>
    <row r="115" spans="1:12" ht="19.5" thickBot="1">
      <c r="A115" s="281"/>
      <c r="B115" s="140" t="s">
        <v>125</v>
      </c>
      <c r="C115" s="141" t="s">
        <v>126</v>
      </c>
      <c r="D115" s="141" t="s">
        <v>126</v>
      </c>
      <c r="E115" s="141" t="s">
        <v>126</v>
      </c>
      <c r="F115" s="141" t="s">
        <v>126</v>
      </c>
      <c r="G115" s="209">
        <f>G114+G113+G112+G111+G110+G109</f>
        <v>5156046.25</v>
      </c>
      <c r="H115" s="270"/>
      <c r="I115" s="270"/>
      <c r="J115" s="270"/>
      <c r="L115" s="134">
        <f>SUM(L109:L114)</f>
        <v>5156046.25</v>
      </c>
    </row>
    <row r="117" spans="1:6" ht="18.75" customHeight="1">
      <c r="A117" s="402" t="s">
        <v>311</v>
      </c>
      <c r="B117" s="402"/>
      <c r="C117" s="402"/>
      <c r="D117" s="402"/>
      <c r="E117" s="402"/>
      <c r="F117" s="184"/>
    </row>
    <row r="118" ht="15.75" thickBot="1"/>
    <row r="119" spans="1:5" ht="57" thickBot="1">
      <c r="A119" s="136" t="s">
        <v>0</v>
      </c>
      <c r="B119" s="284" t="s">
        <v>1</v>
      </c>
      <c r="C119" s="284" t="s">
        <v>160</v>
      </c>
      <c r="D119" s="284" t="s">
        <v>161</v>
      </c>
      <c r="E119" s="284" t="s">
        <v>162</v>
      </c>
    </row>
    <row r="120" spans="1:5" ht="19.5" thickBot="1">
      <c r="A120" s="281">
        <v>1</v>
      </c>
      <c r="B120" s="112">
        <v>2</v>
      </c>
      <c r="C120" s="112">
        <v>3</v>
      </c>
      <c r="D120" s="112">
        <v>4</v>
      </c>
      <c r="E120" s="112">
        <v>5</v>
      </c>
    </row>
    <row r="121" spans="1:5" ht="19.5" thickBot="1">
      <c r="A121" s="281"/>
      <c r="B121" s="112"/>
      <c r="C121" s="112"/>
      <c r="D121" s="112"/>
      <c r="E121" s="112"/>
    </row>
    <row r="122" spans="1:5" ht="19.5" thickBot="1">
      <c r="A122" s="281"/>
      <c r="B122" s="187" t="s">
        <v>125</v>
      </c>
      <c r="C122" s="112" t="s">
        <v>126</v>
      </c>
      <c r="D122" s="112" t="s">
        <v>126</v>
      </c>
      <c r="E122" s="112" t="s">
        <v>126</v>
      </c>
    </row>
    <row r="124" spans="1:5" ht="31.5" customHeight="1">
      <c r="A124" s="408" t="s">
        <v>312</v>
      </c>
      <c r="B124" s="408"/>
      <c r="C124" s="408"/>
      <c r="D124" s="408"/>
      <c r="E124" s="408"/>
    </row>
    <row r="125" ht="19.5" thickBot="1">
      <c r="A125" s="135"/>
    </row>
    <row r="126" spans="1:5" ht="38.25" thickBot="1">
      <c r="A126" s="136" t="s">
        <v>0</v>
      </c>
      <c r="B126" s="284" t="s">
        <v>127</v>
      </c>
      <c r="C126" s="284" t="s">
        <v>163</v>
      </c>
      <c r="D126" s="284" t="s">
        <v>164</v>
      </c>
      <c r="E126" s="284" t="s">
        <v>165</v>
      </c>
    </row>
    <row r="127" spans="1:5" ht="19.5" thickBot="1">
      <c r="A127" s="281">
        <v>1</v>
      </c>
      <c r="B127" s="112">
        <v>2</v>
      </c>
      <c r="C127" s="112">
        <v>3</v>
      </c>
      <c r="D127" s="112">
        <v>4</v>
      </c>
      <c r="E127" s="112">
        <v>5</v>
      </c>
    </row>
    <row r="128" spans="1:24" ht="24" customHeight="1" thickBot="1">
      <c r="A128" s="281">
        <v>1</v>
      </c>
      <c r="B128" s="138" t="s">
        <v>313</v>
      </c>
      <c r="C128" s="112"/>
      <c r="D128" s="112">
        <v>12</v>
      </c>
      <c r="E128" s="139">
        <v>104024.76</v>
      </c>
      <c r="K128" s="227"/>
      <c r="L128" s="227"/>
      <c r="M128" s="227"/>
      <c r="N128" s="227"/>
      <c r="O128" s="227"/>
      <c r="P128" s="227"/>
      <c r="Q128" s="227"/>
      <c r="R128" s="227"/>
      <c r="S128" s="227"/>
      <c r="T128" s="227"/>
      <c r="U128" s="227"/>
      <c r="V128" s="227"/>
      <c r="W128" s="227"/>
      <c r="X128" s="227"/>
    </row>
    <row r="129" spans="1:24" ht="24" customHeight="1" thickBot="1">
      <c r="A129" s="281">
        <v>2</v>
      </c>
      <c r="B129" s="138" t="s">
        <v>314</v>
      </c>
      <c r="C129" s="112"/>
      <c r="D129" s="112">
        <v>12</v>
      </c>
      <c r="E129" s="139">
        <v>114000</v>
      </c>
      <c r="K129" s="227"/>
      <c r="L129" s="227"/>
      <c r="M129" s="227"/>
      <c r="N129" s="227"/>
      <c r="O129" s="227"/>
      <c r="P129" s="227"/>
      <c r="Q129" s="227"/>
      <c r="R129" s="227"/>
      <c r="S129" s="227"/>
      <c r="T129" s="227"/>
      <c r="U129" s="227"/>
      <c r="V129" s="227"/>
      <c r="W129" s="227"/>
      <c r="X129" s="227"/>
    </row>
    <row r="130" spans="1:24" ht="24" customHeight="1" thickBot="1">
      <c r="A130" s="281">
        <v>3</v>
      </c>
      <c r="B130" s="138" t="s">
        <v>329</v>
      </c>
      <c r="C130" s="112"/>
      <c r="D130" s="112">
        <v>12</v>
      </c>
      <c r="E130" s="139">
        <v>216000</v>
      </c>
      <c r="K130" s="227"/>
      <c r="L130" s="227"/>
      <c r="M130" s="227"/>
      <c r="N130" s="227"/>
      <c r="O130" s="227"/>
      <c r="P130" s="227"/>
      <c r="Q130" s="227"/>
      <c r="R130" s="227"/>
      <c r="S130" s="227"/>
      <c r="T130" s="227"/>
      <c r="U130" s="227"/>
      <c r="V130" s="227"/>
      <c r="W130" s="227"/>
      <c r="X130" s="227"/>
    </row>
    <row r="131" spans="1:24" ht="24" customHeight="1" thickBot="1">
      <c r="A131" s="281">
        <v>4</v>
      </c>
      <c r="B131" s="138" t="s">
        <v>315</v>
      </c>
      <c r="C131" s="112"/>
      <c r="D131" s="112">
        <v>12</v>
      </c>
      <c r="E131" s="139">
        <v>46971.36</v>
      </c>
      <c r="K131" s="227"/>
      <c r="L131" s="227"/>
      <c r="M131" s="227"/>
      <c r="N131" s="227"/>
      <c r="O131" s="227"/>
      <c r="P131" s="227"/>
      <c r="Q131" s="227"/>
      <c r="R131" s="227"/>
      <c r="S131" s="227"/>
      <c r="T131" s="227"/>
      <c r="U131" s="227"/>
      <c r="V131" s="227"/>
      <c r="W131" s="227"/>
      <c r="X131" s="227"/>
    </row>
    <row r="132" spans="1:24" ht="24" customHeight="1" thickBot="1">
      <c r="A132" s="281">
        <v>5</v>
      </c>
      <c r="B132" s="138" t="s">
        <v>346</v>
      </c>
      <c r="C132" s="112"/>
      <c r="D132" s="112">
        <v>12</v>
      </c>
      <c r="E132" s="139">
        <v>16800</v>
      </c>
      <c r="K132" s="227"/>
      <c r="L132" s="227"/>
      <c r="M132" s="227"/>
      <c r="N132" s="227"/>
      <c r="O132" s="227"/>
      <c r="P132" s="227"/>
      <c r="Q132" s="227"/>
      <c r="R132" s="227"/>
      <c r="S132" s="227"/>
      <c r="T132" s="227"/>
      <c r="U132" s="227"/>
      <c r="V132" s="227"/>
      <c r="W132" s="227"/>
      <c r="X132" s="227"/>
    </row>
    <row r="133" spans="1:24" ht="24" customHeight="1" thickBot="1">
      <c r="A133" s="281">
        <v>6</v>
      </c>
      <c r="B133" s="138" t="s">
        <v>316</v>
      </c>
      <c r="C133" s="112"/>
      <c r="D133" s="112">
        <v>12</v>
      </c>
      <c r="E133" s="139">
        <v>66000</v>
      </c>
      <c r="K133" s="227"/>
      <c r="L133" s="227"/>
      <c r="M133" s="227"/>
      <c r="N133" s="227"/>
      <c r="O133" s="227"/>
      <c r="P133" s="227"/>
      <c r="Q133" s="227"/>
      <c r="R133" s="227"/>
      <c r="S133" s="227"/>
      <c r="T133" s="227"/>
      <c r="U133" s="227"/>
      <c r="V133" s="227"/>
      <c r="W133" s="227"/>
      <c r="X133" s="227"/>
    </row>
    <row r="134" spans="1:24" ht="24" customHeight="1" thickBot="1">
      <c r="A134" s="281">
        <v>7</v>
      </c>
      <c r="B134" s="138" t="s">
        <v>317</v>
      </c>
      <c r="C134" s="112"/>
      <c r="D134" s="112">
        <v>1</v>
      </c>
      <c r="E134" s="139">
        <v>500000</v>
      </c>
      <c r="K134" s="227"/>
      <c r="L134" s="227"/>
      <c r="M134" s="227"/>
      <c r="N134" s="227"/>
      <c r="O134" s="227"/>
      <c r="P134" s="227"/>
      <c r="Q134" s="227"/>
      <c r="R134" s="227"/>
      <c r="S134" s="227"/>
      <c r="T134" s="227"/>
      <c r="U134" s="227"/>
      <c r="V134" s="227"/>
      <c r="W134" s="227"/>
      <c r="X134" s="227"/>
    </row>
    <row r="135" spans="1:24" ht="57" thickBot="1">
      <c r="A135" s="281">
        <v>8</v>
      </c>
      <c r="B135" s="138" t="s">
        <v>452</v>
      </c>
      <c r="C135" s="112"/>
      <c r="D135" s="112"/>
      <c r="E135" s="139">
        <v>100000</v>
      </c>
      <c r="K135" s="227"/>
      <c r="L135" s="227"/>
      <c r="M135" s="227"/>
      <c r="N135" s="227"/>
      <c r="O135" s="227"/>
      <c r="P135" s="227"/>
      <c r="Q135" s="227"/>
      <c r="R135" s="227"/>
      <c r="S135" s="227"/>
      <c r="T135" s="227"/>
      <c r="U135" s="227"/>
      <c r="V135" s="227"/>
      <c r="W135" s="227"/>
      <c r="X135" s="227"/>
    </row>
    <row r="136" spans="1:24" ht="24" customHeight="1" thickBot="1">
      <c r="A136" s="281">
        <v>9</v>
      </c>
      <c r="B136" s="138" t="s">
        <v>318</v>
      </c>
      <c r="C136" s="112"/>
      <c r="D136" s="112"/>
      <c r="E136" s="139">
        <f>450000+230000</f>
        <v>680000</v>
      </c>
      <c r="K136" s="227"/>
      <c r="L136" s="227"/>
      <c r="M136" s="227"/>
      <c r="N136" s="227"/>
      <c r="O136" s="227"/>
      <c r="P136" s="227"/>
      <c r="Q136" s="227"/>
      <c r="R136" s="227"/>
      <c r="S136" s="227"/>
      <c r="T136" s="227"/>
      <c r="U136" s="227"/>
      <c r="V136" s="227"/>
      <c r="W136" s="227"/>
      <c r="X136" s="227"/>
    </row>
    <row r="137" spans="1:24" ht="24" customHeight="1" thickBot="1">
      <c r="A137" s="281">
        <v>10</v>
      </c>
      <c r="B137" s="138" t="s">
        <v>319</v>
      </c>
      <c r="C137" s="112"/>
      <c r="D137" s="112"/>
      <c r="E137" s="139">
        <v>150000</v>
      </c>
      <c r="K137" s="227"/>
      <c r="L137" s="227"/>
      <c r="M137" s="227"/>
      <c r="N137" s="227"/>
      <c r="O137" s="227"/>
      <c r="P137" s="227"/>
      <c r="Q137" s="227"/>
      <c r="R137" s="227"/>
      <c r="S137" s="227"/>
      <c r="T137" s="227"/>
      <c r="U137" s="227"/>
      <c r="V137" s="227"/>
      <c r="W137" s="227"/>
      <c r="X137" s="227"/>
    </row>
    <row r="138" spans="1:24" ht="24" customHeight="1" thickBot="1">
      <c r="A138" s="281">
        <v>11</v>
      </c>
      <c r="B138" s="138" t="s">
        <v>320</v>
      </c>
      <c r="C138" s="112"/>
      <c r="D138" s="112">
        <v>1</v>
      </c>
      <c r="E138" s="139">
        <v>50000</v>
      </c>
      <c r="K138" s="227"/>
      <c r="L138" s="227"/>
      <c r="M138" s="227"/>
      <c r="N138" s="227"/>
      <c r="O138" s="227"/>
      <c r="P138" s="227"/>
      <c r="Q138" s="227"/>
      <c r="R138" s="227"/>
      <c r="S138" s="227"/>
      <c r="T138" s="227"/>
      <c r="U138" s="227"/>
      <c r="V138" s="227"/>
      <c r="W138" s="227"/>
      <c r="X138" s="227"/>
    </row>
    <row r="139" spans="1:24" ht="24" customHeight="1" thickBot="1">
      <c r="A139" s="281">
        <v>12</v>
      </c>
      <c r="B139" s="138" t="s">
        <v>383</v>
      </c>
      <c r="C139" s="112"/>
      <c r="D139" s="112"/>
      <c r="E139" s="139">
        <v>30000</v>
      </c>
      <c r="K139" s="227"/>
      <c r="L139" s="227"/>
      <c r="M139" s="227"/>
      <c r="N139" s="227"/>
      <c r="O139" s="227"/>
      <c r="P139" s="227"/>
      <c r="Q139" s="227"/>
      <c r="R139" s="227"/>
      <c r="S139" s="227"/>
      <c r="T139" s="227"/>
      <c r="U139" s="227"/>
      <c r="V139" s="227"/>
      <c r="W139" s="227"/>
      <c r="X139" s="227"/>
    </row>
    <row r="140" spans="1:24" ht="24" customHeight="1" thickBot="1">
      <c r="A140" s="281">
        <v>13</v>
      </c>
      <c r="B140" s="138" t="s">
        <v>453</v>
      </c>
      <c r="C140" s="112"/>
      <c r="D140" s="112"/>
      <c r="E140" s="139">
        <v>50000</v>
      </c>
      <c r="F140" s="207"/>
      <c r="K140" s="227"/>
      <c r="L140" s="227"/>
      <c r="M140" s="227"/>
      <c r="N140" s="227"/>
      <c r="O140" s="227"/>
      <c r="P140" s="227"/>
      <c r="Q140" s="227"/>
      <c r="R140" s="227"/>
      <c r="S140" s="227"/>
      <c r="T140" s="227"/>
      <c r="U140" s="227"/>
      <c r="V140" s="227"/>
      <c r="W140" s="227"/>
      <c r="X140" s="227"/>
    </row>
    <row r="141" spans="1:24" ht="24" customHeight="1" thickBot="1">
      <c r="A141" s="281">
        <v>14</v>
      </c>
      <c r="B141" s="138" t="s">
        <v>407</v>
      </c>
      <c r="C141" s="112"/>
      <c r="D141" s="112">
        <v>12</v>
      </c>
      <c r="E141" s="139">
        <v>60000</v>
      </c>
      <c r="K141" s="227"/>
      <c r="L141" s="227"/>
      <c r="M141" s="227"/>
      <c r="N141" s="227"/>
      <c r="O141" s="227"/>
      <c r="P141" s="227"/>
      <c r="Q141" s="227"/>
      <c r="R141" s="227"/>
      <c r="S141" s="227"/>
      <c r="T141" s="227"/>
      <c r="U141" s="227"/>
      <c r="V141" s="227"/>
      <c r="W141" s="227"/>
      <c r="X141" s="227"/>
    </row>
    <row r="142" spans="1:24" ht="24" customHeight="1" thickBot="1">
      <c r="A142" s="281">
        <v>15</v>
      </c>
      <c r="B142" s="138" t="s">
        <v>454</v>
      </c>
      <c r="C142" s="112"/>
      <c r="D142" s="112">
        <v>1</v>
      </c>
      <c r="E142" s="139">
        <v>291267</v>
      </c>
      <c r="K142" s="227"/>
      <c r="L142" s="227"/>
      <c r="M142" s="227"/>
      <c r="N142" s="227"/>
      <c r="O142" s="227"/>
      <c r="P142" s="227"/>
      <c r="Q142" s="227"/>
      <c r="R142" s="227"/>
      <c r="S142" s="227"/>
      <c r="T142" s="227"/>
      <c r="U142" s="227"/>
      <c r="V142" s="227"/>
      <c r="W142" s="227"/>
      <c r="X142" s="227"/>
    </row>
    <row r="143" spans="1:24" ht="24" customHeight="1" hidden="1" thickBot="1">
      <c r="A143" s="281">
        <v>16</v>
      </c>
      <c r="B143" s="138" t="s">
        <v>408</v>
      </c>
      <c r="C143" s="112"/>
      <c r="D143" s="112">
        <v>4</v>
      </c>
      <c r="E143" s="139"/>
      <c r="K143" s="227"/>
      <c r="L143" s="227"/>
      <c r="M143" s="227"/>
      <c r="N143" s="227"/>
      <c r="O143" s="227"/>
      <c r="P143" s="227"/>
      <c r="Q143" s="227"/>
      <c r="R143" s="227"/>
      <c r="S143" s="227"/>
      <c r="T143" s="227"/>
      <c r="U143" s="227"/>
      <c r="V143" s="227"/>
      <c r="W143" s="227"/>
      <c r="X143" s="227"/>
    </row>
    <row r="144" spans="1:24" ht="24" customHeight="1" thickBot="1">
      <c r="A144" s="281">
        <v>16</v>
      </c>
      <c r="B144" s="138" t="s">
        <v>409</v>
      </c>
      <c r="C144" s="112"/>
      <c r="D144" s="112">
        <v>1</v>
      </c>
      <c r="E144" s="139">
        <v>90000</v>
      </c>
      <c r="K144" s="227"/>
      <c r="L144" s="227"/>
      <c r="M144" s="227"/>
      <c r="N144" s="227"/>
      <c r="O144" s="227"/>
      <c r="P144" s="227"/>
      <c r="Q144" s="227"/>
      <c r="R144" s="227"/>
      <c r="S144" s="227"/>
      <c r="T144" s="227"/>
      <c r="U144" s="227"/>
      <c r="V144" s="227"/>
      <c r="W144" s="227"/>
      <c r="X144" s="227"/>
    </row>
    <row r="145" spans="1:24" ht="24" customHeight="1" hidden="1" thickBot="1">
      <c r="A145" s="281">
        <v>18</v>
      </c>
      <c r="B145" s="138" t="s">
        <v>410</v>
      </c>
      <c r="C145" s="112"/>
      <c r="D145" s="112">
        <v>6</v>
      </c>
      <c r="E145" s="139"/>
      <c r="K145" s="227"/>
      <c r="L145" s="227"/>
      <c r="M145" s="227"/>
      <c r="N145" s="227"/>
      <c r="O145" s="227"/>
      <c r="P145" s="227"/>
      <c r="Q145" s="227"/>
      <c r="R145" s="227"/>
      <c r="S145" s="227"/>
      <c r="T145" s="227"/>
      <c r="U145" s="227"/>
      <c r="V145" s="227"/>
      <c r="W145" s="227"/>
      <c r="X145" s="227"/>
    </row>
    <row r="146" spans="1:24" ht="24" customHeight="1" hidden="1" thickBot="1">
      <c r="A146" s="281">
        <v>19</v>
      </c>
      <c r="B146" s="138" t="s">
        <v>427</v>
      </c>
      <c r="C146" s="112"/>
      <c r="D146" s="112"/>
      <c r="E146" s="139"/>
      <c r="K146" s="227"/>
      <c r="L146" s="227"/>
      <c r="M146" s="227"/>
      <c r="N146" s="227"/>
      <c r="O146" s="227"/>
      <c r="P146" s="227"/>
      <c r="Q146" s="227"/>
      <c r="R146" s="227"/>
      <c r="S146" s="227"/>
      <c r="T146" s="227"/>
      <c r="U146" s="227"/>
      <c r="V146" s="227"/>
      <c r="W146" s="227"/>
      <c r="X146" s="227"/>
    </row>
    <row r="147" spans="1:24" ht="24" customHeight="1" hidden="1" thickBot="1">
      <c r="A147" s="281">
        <v>20</v>
      </c>
      <c r="B147" s="138" t="s">
        <v>428</v>
      </c>
      <c r="C147" s="112"/>
      <c r="D147" s="112"/>
      <c r="E147" s="139"/>
      <c r="K147" s="227"/>
      <c r="L147" s="227"/>
      <c r="M147" s="227"/>
      <c r="N147" s="227"/>
      <c r="O147" s="227"/>
      <c r="P147" s="227"/>
      <c r="Q147" s="227"/>
      <c r="R147" s="227"/>
      <c r="S147" s="227"/>
      <c r="T147" s="227"/>
      <c r="U147" s="227"/>
      <c r="V147" s="227"/>
      <c r="W147" s="227"/>
      <c r="X147" s="227"/>
    </row>
    <row r="148" spans="1:24" ht="24" customHeight="1" hidden="1" thickBot="1">
      <c r="A148" s="281">
        <v>21</v>
      </c>
      <c r="B148" s="138" t="s">
        <v>429</v>
      </c>
      <c r="C148" s="112"/>
      <c r="D148" s="112"/>
      <c r="E148" s="139"/>
      <c r="K148" s="227"/>
      <c r="L148" s="227"/>
      <c r="M148" s="227"/>
      <c r="N148" s="227"/>
      <c r="O148" s="227"/>
      <c r="P148" s="227"/>
      <c r="Q148" s="227"/>
      <c r="R148" s="227"/>
      <c r="S148" s="227"/>
      <c r="T148" s="227"/>
      <c r="U148" s="227"/>
      <c r="V148" s="227"/>
      <c r="W148" s="227"/>
      <c r="X148" s="227"/>
    </row>
    <row r="149" spans="1:24" ht="24" customHeight="1" hidden="1" thickBot="1">
      <c r="A149" s="281">
        <v>22</v>
      </c>
      <c r="B149" s="138" t="s">
        <v>430</v>
      </c>
      <c r="C149" s="112"/>
      <c r="D149" s="112"/>
      <c r="E149" s="139"/>
      <c r="K149" s="227"/>
      <c r="L149" s="227"/>
      <c r="M149" s="227"/>
      <c r="N149" s="227"/>
      <c r="O149" s="227"/>
      <c r="P149" s="227"/>
      <c r="Q149" s="227"/>
      <c r="R149" s="227"/>
      <c r="S149" s="227"/>
      <c r="T149" s="227"/>
      <c r="U149" s="227"/>
      <c r="V149" s="227"/>
      <c r="W149" s="227"/>
      <c r="X149" s="227"/>
    </row>
    <row r="150" spans="1:24" ht="24" customHeight="1" thickBot="1">
      <c r="A150" s="281">
        <v>17</v>
      </c>
      <c r="B150" s="138" t="s">
        <v>347</v>
      </c>
      <c r="C150" s="112"/>
      <c r="D150" s="112"/>
      <c r="E150" s="139">
        <v>40000</v>
      </c>
      <c r="K150" s="227"/>
      <c r="L150" s="227"/>
      <c r="M150" s="227"/>
      <c r="N150" s="227"/>
      <c r="O150" s="227"/>
      <c r="P150" s="227"/>
      <c r="Q150" s="227"/>
      <c r="R150" s="227"/>
      <c r="S150" s="227"/>
      <c r="T150" s="227"/>
      <c r="U150" s="227"/>
      <c r="V150" s="227"/>
      <c r="W150" s="227"/>
      <c r="X150" s="227"/>
    </row>
    <row r="151" spans="1:24" ht="19.5" thickBot="1">
      <c r="A151" s="281"/>
      <c r="B151" s="140" t="s">
        <v>125</v>
      </c>
      <c r="C151" s="141" t="s">
        <v>126</v>
      </c>
      <c r="D151" s="141" t="s">
        <v>126</v>
      </c>
      <c r="E151" s="142">
        <f>SUM(E128:E150)</f>
        <v>2605063.12</v>
      </c>
      <c r="F151" s="143"/>
      <c r="K151" s="227"/>
      <c r="L151" s="286"/>
      <c r="M151" s="236"/>
      <c r="N151" s="227"/>
      <c r="O151" s="227"/>
      <c r="P151" s="227"/>
      <c r="Q151" s="227"/>
      <c r="R151" s="227"/>
      <c r="S151" s="227"/>
      <c r="T151" s="227"/>
      <c r="U151" s="227"/>
      <c r="V151" s="227"/>
      <c r="W151" s="227"/>
      <c r="X151" s="227"/>
    </row>
    <row r="153" spans="1:5" ht="27.75" customHeight="1">
      <c r="A153" s="408" t="s">
        <v>321</v>
      </c>
      <c r="B153" s="408"/>
      <c r="C153" s="408"/>
      <c r="D153" s="408"/>
      <c r="E153" s="408"/>
    </row>
    <row r="154" ht="8.25" customHeight="1" thickBot="1">
      <c r="A154" s="135"/>
    </row>
    <row r="155" spans="1:4" ht="38.25" thickBot="1">
      <c r="A155" s="136" t="s">
        <v>0</v>
      </c>
      <c r="B155" s="284" t="s">
        <v>127</v>
      </c>
      <c r="C155" s="284" t="s">
        <v>166</v>
      </c>
      <c r="D155" s="284" t="s">
        <v>167</v>
      </c>
    </row>
    <row r="156" spans="1:4" ht="19.5" thickBot="1">
      <c r="A156" s="281">
        <v>1</v>
      </c>
      <c r="B156" s="112">
        <v>2</v>
      </c>
      <c r="C156" s="112">
        <v>3</v>
      </c>
      <c r="D156" s="112">
        <v>4</v>
      </c>
    </row>
    <row r="157" spans="1:4" ht="22.5" customHeight="1" thickBot="1">
      <c r="A157" s="281">
        <v>1</v>
      </c>
      <c r="B157" s="138" t="s">
        <v>322</v>
      </c>
      <c r="C157" s="112">
        <v>1</v>
      </c>
      <c r="D157" s="139">
        <v>156000</v>
      </c>
    </row>
    <row r="158" spans="1:4" ht="22.5" customHeight="1" thickBot="1">
      <c r="A158" s="281">
        <v>2</v>
      </c>
      <c r="B158" s="138" t="s">
        <v>384</v>
      </c>
      <c r="C158" s="112"/>
      <c r="D158" s="139">
        <v>50000</v>
      </c>
    </row>
    <row r="159" spans="1:4" ht="22.5" customHeight="1" thickBot="1">
      <c r="A159" s="281">
        <v>3</v>
      </c>
      <c r="B159" s="138" t="s">
        <v>323</v>
      </c>
      <c r="C159" s="112"/>
      <c r="D159" s="139">
        <v>400000</v>
      </c>
    </row>
    <row r="160" spans="1:4" ht="22.5" customHeight="1" thickBot="1">
      <c r="A160" s="281">
        <v>4</v>
      </c>
      <c r="B160" s="138" t="s">
        <v>348</v>
      </c>
      <c r="C160" s="112"/>
      <c r="D160" s="139">
        <v>40000</v>
      </c>
    </row>
    <row r="161" spans="1:4" ht="22.5" customHeight="1" hidden="1" thickBot="1">
      <c r="A161" s="281">
        <v>5</v>
      </c>
      <c r="B161" s="138" t="s">
        <v>388</v>
      </c>
      <c r="C161" s="112"/>
      <c r="D161" s="139"/>
    </row>
    <row r="162" spans="1:4" ht="22.5" customHeight="1" thickBot="1">
      <c r="A162" s="281">
        <v>5</v>
      </c>
      <c r="B162" s="138" t="s">
        <v>395</v>
      </c>
      <c r="C162" s="112"/>
      <c r="D162" s="139">
        <v>170000</v>
      </c>
    </row>
    <row r="163" spans="1:4" ht="22.5" customHeight="1" thickBot="1">
      <c r="A163" s="281">
        <v>6</v>
      </c>
      <c r="B163" s="138" t="s">
        <v>409</v>
      </c>
      <c r="C163" s="112"/>
      <c r="D163" s="139">
        <v>200000</v>
      </c>
    </row>
    <row r="164" spans="1:4" ht="22.5" customHeight="1" thickBot="1">
      <c r="A164" s="281">
        <v>7</v>
      </c>
      <c r="B164" s="138" t="s">
        <v>420</v>
      </c>
      <c r="C164" s="112"/>
      <c r="D164" s="139">
        <v>50000</v>
      </c>
    </row>
    <row r="165" spans="1:5" ht="19.5" thickBot="1">
      <c r="A165" s="281"/>
      <c r="B165" s="140" t="s">
        <v>125</v>
      </c>
      <c r="C165" s="141" t="s">
        <v>126</v>
      </c>
      <c r="D165" s="142">
        <f>SUM(D157:D164)</f>
        <v>1066000</v>
      </c>
      <c r="E165" s="143"/>
    </row>
    <row r="167" spans="1:6" ht="26.25" customHeight="1">
      <c r="A167" s="408" t="s">
        <v>324</v>
      </c>
      <c r="B167" s="408"/>
      <c r="C167" s="408"/>
      <c r="D167" s="408"/>
      <c r="E167" s="408"/>
      <c r="F167" s="408"/>
    </row>
    <row r="168" ht="15.75" thickBot="1"/>
    <row r="169" spans="1:5" ht="57" thickBot="1">
      <c r="A169" s="136" t="s">
        <v>0</v>
      </c>
      <c r="B169" s="284" t="s">
        <v>127</v>
      </c>
      <c r="C169" s="284" t="s">
        <v>160</v>
      </c>
      <c r="D169" s="284" t="s">
        <v>168</v>
      </c>
      <c r="E169" s="284" t="s">
        <v>169</v>
      </c>
    </row>
    <row r="170" spans="1:5" ht="19.5" thickBot="1">
      <c r="A170" s="281"/>
      <c r="B170" s="112">
        <v>1</v>
      </c>
      <c r="C170" s="112">
        <v>2</v>
      </c>
      <c r="D170" s="112">
        <v>3</v>
      </c>
      <c r="E170" s="112">
        <v>4</v>
      </c>
    </row>
    <row r="171" spans="1:5" ht="54.75" customHeight="1" thickBot="1">
      <c r="A171" s="281">
        <v>1</v>
      </c>
      <c r="B171" s="138" t="s">
        <v>325</v>
      </c>
      <c r="C171" s="112"/>
      <c r="D171" s="139">
        <v>250000</v>
      </c>
      <c r="E171" s="139">
        <f>D171</f>
        <v>250000</v>
      </c>
    </row>
    <row r="172" spans="1:5" ht="30" customHeight="1" hidden="1" thickBot="1">
      <c r="A172" s="281">
        <v>1</v>
      </c>
      <c r="B172" s="138" t="s">
        <v>325</v>
      </c>
      <c r="C172" s="112"/>
      <c r="D172" s="139">
        <f>E172</f>
        <v>0</v>
      </c>
      <c r="E172" s="139">
        <v>0</v>
      </c>
    </row>
    <row r="173" spans="1:5" ht="46.5" customHeight="1" hidden="1" thickBot="1">
      <c r="A173" s="281">
        <v>2</v>
      </c>
      <c r="B173" s="138" t="s">
        <v>332</v>
      </c>
      <c r="C173" s="112"/>
      <c r="D173" s="139">
        <f>E173</f>
        <v>0</v>
      </c>
      <c r="E173" s="139">
        <v>0</v>
      </c>
    </row>
    <row r="174" spans="1:5" ht="30" customHeight="1" thickBot="1">
      <c r="A174" s="279"/>
      <c r="B174" s="188" t="s">
        <v>336</v>
      </c>
      <c r="C174" s="141"/>
      <c r="D174" s="142"/>
      <c r="E174" s="142">
        <f>SUM(E171)</f>
        <v>250000</v>
      </c>
    </row>
    <row r="175" spans="1:5" ht="28.5" customHeight="1" thickBot="1">
      <c r="A175" s="281">
        <v>1</v>
      </c>
      <c r="B175" s="138" t="s">
        <v>326</v>
      </c>
      <c r="C175" s="112"/>
      <c r="D175" s="139">
        <f>E175</f>
        <v>186401.56</v>
      </c>
      <c r="E175" s="139">
        <v>186401.56</v>
      </c>
    </row>
    <row r="176" spans="1:5" ht="27" customHeight="1" hidden="1" thickBot="1">
      <c r="A176" s="281"/>
      <c r="B176" s="138" t="s">
        <v>390</v>
      </c>
      <c r="C176" s="112"/>
      <c r="D176" s="139">
        <f>E176</f>
        <v>0</v>
      </c>
      <c r="E176" s="139"/>
    </row>
    <row r="177" spans="1:5" ht="28.5" customHeight="1" thickBot="1">
      <c r="A177" s="281">
        <v>2</v>
      </c>
      <c r="B177" s="138" t="s">
        <v>386</v>
      </c>
      <c r="C177" s="112"/>
      <c r="D177" s="139">
        <f>E177</f>
        <v>30000</v>
      </c>
      <c r="E177" s="139">
        <v>30000</v>
      </c>
    </row>
    <row r="178" spans="1:5" ht="59.25" customHeight="1" thickBot="1">
      <c r="A178" s="281">
        <v>3</v>
      </c>
      <c r="B178" s="138" t="s">
        <v>333</v>
      </c>
      <c r="C178" s="112"/>
      <c r="D178" s="139">
        <f>E178</f>
        <v>1500900</v>
      </c>
      <c r="E178" s="139">
        <v>1500900</v>
      </c>
    </row>
    <row r="179" spans="1:5" ht="27.75" customHeight="1" thickBot="1">
      <c r="A179" s="279"/>
      <c r="B179" s="188" t="s">
        <v>327</v>
      </c>
      <c r="C179" s="141"/>
      <c r="D179" s="142"/>
      <c r="E179" s="142">
        <f>SUM(E175:E178)</f>
        <v>1717301.56</v>
      </c>
    </row>
    <row r="181" spans="1:3" ht="15">
      <c r="A181" s="414"/>
      <c r="B181" s="414"/>
      <c r="C181" s="414"/>
    </row>
    <row r="182" spans="7:8" ht="15">
      <c r="G182" s="143"/>
      <c r="H182" s="143"/>
    </row>
    <row r="183" spans="5:8" ht="15">
      <c r="E183" s="143">
        <f>J31+F45+D57+E83+F96+E103+G115+E151+D165+E174+E175+E177+E178</f>
        <v>64913619.20000002</v>
      </c>
      <c r="G183" s="143"/>
      <c r="H183" s="143"/>
    </row>
    <row r="184" ht="15">
      <c r="E184" s="143"/>
    </row>
    <row r="185" ht="15">
      <c r="J185" s="218"/>
    </row>
  </sheetData>
  <sheetProtection/>
  <mergeCells count="36">
    <mergeCell ref="A33:F33"/>
    <mergeCell ref="A11:J11"/>
    <mergeCell ref="A13:J13"/>
    <mergeCell ref="A15:J15"/>
    <mergeCell ref="A16:J16"/>
    <mergeCell ref="A18:J18"/>
    <mergeCell ref="A20:A22"/>
    <mergeCell ref="B20:B22"/>
    <mergeCell ref="C20:C22"/>
    <mergeCell ref="D20:G20"/>
    <mergeCell ref="H20:H22"/>
    <mergeCell ref="I20:I22"/>
    <mergeCell ref="J20:J22"/>
    <mergeCell ref="D21:D22"/>
    <mergeCell ref="E21:G21"/>
    <mergeCell ref="A31:B31"/>
    <mergeCell ref="A40:F40"/>
    <mergeCell ref="A47:G47"/>
    <mergeCell ref="A52:A53"/>
    <mergeCell ref="C52:C53"/>
    <mergeCell ref="D52:D53"/>
    <mergeCell ref="A59:F59"/>
    <mergeCell ref="A61:F61"/>
    <mergeCell ref="A62:F62"/>
    <mergeCell ref="A70:G70"/>
    <mergeCell ref="A73:G73"/>
    <mergeCell ref="A74:G74"/>
    <mergeCell ref="A85:E85"/>
    <mergeCell ref="A167:F167"/>
    <mergeCell ref="A181:C181"/>
    <mergeCell ref="A90:F90"/>
    <mergeCell ref="A98:F98"/>
    <mergeCell ref="A105:F105"/>
    <mergeCell ref="A117:E117"/>
    <mergeCell ref="A124:E124"/>
    <mergeCell ref="A153:E15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X165"/>
  <sheetViews>
    <sheetView view="pageBreakPreview" zoomScale="60" zoomScaleNormal="72" zoomScalePageLayoutView="0" workbookViewId="0" topLeftCell="A1">
      <selection activeCell="G166" sqref="G166"/>
    </sheetView>
  </sheetViews>
  <sheetFormatPr defaultColWidth="9.140625" defaultRowHeight="15"/>
  <cols>
    <col min="1" max="1" width="9.00390625" style="134" customWidth="1"/>
    <col min="2" max="2" width="56.421875" style="134" customWidth="1"/>
    <col min="3" max="3" width="20.7109375" style="134" customWidth="1"/>
    <col min="4" max="4" width="22.7109375" style="134" customWidth="1"/>
    <col min="5" max="5" width="22.00390625" style="134" customWidth="1"/>
    <col min="6" max="6" width="21.421875" style="134" customWidth="1"/>
    <col min="7" max="7" width="19.140625" style="134" customWidth="1"/>
    <col min="8" max="8" width="20.8515625" style="134" customWidth="1"/>
    <col min="9" max="9" width="21.00390625" style="134" customWidth="1"/>
    <col min="10" max="10" width="21.140625" style="134" customWidth="1"/>
    <col min="11" max="11" width="10.57421875" style="134" bestFit="1" customWidth="1"/>
    <col min="12" max="12" width="25.8515625" style="134" customWidth="1"/>
    <col min="13" max="13" width="18.7109375" style="134" customWidth="1"/>
    <col min="14" max="14" width="9.421875" style="134" bestFit="1" customWidth="1"/>
    <col min="15" max="17" width="9.140625" style="134" customWidth="1"/>
    <col min="18" max="19" width="13.421875" style="134" bestFit="1" customWidth="1"/>
    <col min="20" max="16384" width="9.140625" style="134" customWidth="1"/>
  </cols>
  <sheetData>
    <row r="1" spans="6:10" ht="18.75">
      <c r="F1" s="403" t="s">
        <v>107</v>
      </c>
      <c r="G1" s="403"/>
      <c r="H1" s="219"/>
      <c r="J1" s="219"/>
    </row>
    <row r="2" spans="5:10" ht="18.75">
      <c r="E2" s="184"/>
      <c r="F2" s="184" t="s">
        <v>400</v>
      </c>
      <c r="G2" s="184"/>
      <c r="H2" s="219"/>
      <c r="J2" s="219"/>
    </row>
    <row r="3" spans="5:10" ht="16.5">
      <c r="E3" s="245"/>
      <c r="F3" s="245" t="s">
        <v>399</v>
      </c>
      <c r="G3" s="245"/>
      <c r="H3" s="220"/>
      <c r="J3" s="220"/>
    </row>
    <row r="4" spans="6:10" ht="16.5">
      <c r="F4" s="245" t="s">
        <v>110</v>
      </c>
      <c r="G4" s="245"/>
      <c r="H4" s="220"/>
      <c r="J4" s="220"/>
    </row>
    <row r="5" spans="6:10" ht="16.5">
      <c r="F5" s="245" t="s">
        <v>111</v>
      </c>
      <c r="G5" s="245"/>
      <c r="H5" s="220"/>
      <c r="J5" s="220"/>
    </row>
    <row r="6" spans="5:10" ht="16.5">
      <c r="E6" s="245"/>
      <c r="F6" s="245" t="s">
        <v>112</v>
      </c>
      <c r="G6" s="245"/>
      <c r="H6" s="220"/>
      <c r="J6" s="220"/>
    </row>
    <row r="7" spans="5:10" ht="16.5">
      <c r="E7" s="245"/>
      <c r="F7" s="245" t="s">
        <v>113</v>
      </c>
      <c r="G7" s="245"/>
      <c r="H7" s="220"/>
      <c r="J7" s="220"/>
    </row>
    <row r="8" spans="6:10" ht="16.5">
      <c r="F8" s="220" t="s">
        <v>114</v>
      </c>
      <c r="H8" s="220"/>
      <c r="J8" s="220"/>
    </row>
    <row r="11" spans="1:10" ht="15" customHeight="1">
      <c r="A11" s="402" t="s">
        <v>417</v>
      </c>
      <c r="B11" s="402"/>
      <c r="C11" s="402"/>
      <c r="D11" s="402"/>
      <c r="E11" s="402"/>
      <c r="F11" s="402"/>
      <c r="G11" s="402"/>
      <c r="H11" s="246"/>
      <c r="I11" s="246"/>
      <c r="J11" s="246"/>
    </row>
    <row r="12" spans="1:10" ht="18.75">
      <c r="A12" s="221"/>
      <c r="B12" s="221"/>
      <c r="C12" s="266"/>
      <c r="D12" s="221"/>
      <c r="E12" s="221"/>
      <c r="F12" s="221"/>
      <c r="G12" s="221"/>
      <c r="H12" s="221"/>
      <c r="I12" s="221"/>
      <c r="J12" s="221"/>
    </row>
    <row r="13" spans="1:10" ht="18.75" hidden="1">
      <c r="A13" s="402" t="s">
        <v>115</v>
      </c>
      <c r="B13" s="402"/>
      <c r="C13" s="402"/>
      <c r="D13" s="402"/>
      <c r="E13" s="402"/>
      <c r="F13" s="402"/>
      <c r="G13" s="402"/>
      <c r="H13" s="402"/>
      <c r="I13" s="402"/>
      <c r="J13" s="402"/>
    </row>
    <row r="14" spans="1:10" ht="15" hidden="1">
      <c r="A14" s="221"/>
      <c r="B14" s="221"/>
      <c r="C14" s="221"/>
      <c r="D14" s="221"/>
      <c r="E14" s="221"/>
      <c r="F14" s="221"/>
      <c r="G14" s="221"/>
      <c r="H14" s="221"/>
      <c r="I14" s="221"/>
      <c r="J14" s="221"/>
    </row>
    <row r="15" spans="1:10" ht="18.75" hidden="1">
      <c r="A15" s="403" t="s">
        <v>284</v>
      </c>
      <c r="B15" s="403"/>
      <c r="C15" s="403"/>
      <c r="D15" s="403"/>
      <c r="E15" s="403"/>
      <c r="F15" s="403"/>
      <c r="G15" s="403"/>
      <c r="H15" s="403"/>
      <c r="I15" s="403"/>
      <c r="J15" s="403"/>
    </row>
    <row r="16" spans="1:10" ht="21" customHeight="1" hidden="1">
      <c r="A16" s="403" t="s">
        <v>285</v>
      </c>
      <c r="B16" s="403"/>
      <c r="C16" s="403"/>
      <c r="D16" s="403"/>
      <c r="E16" s="403"/>
      <c r="F16" s="403"/>
      <c r="G16" s="403"/>
      <c r="H16" s="403"/>
      <c r="I16" s="403"/>
      <c r="J16" s="403"/>
    </row>
    <row r="17" ht="18.75" hidden="1">
      <c r="A17" s="184"/>
    </row>
    <row r="18" spans="1:10" ht="18.75" hidden="1">
      <c r="A18" s="402" t="s">
        <v>116</v>
      </c>
      <c r="B18" s="402"/>
      <c r="C18" s="402"/>
      <c r="D18" s="402"/>
      <c r="E18" s="402"/>
      <c r="F18" s="402"/>
      <c r="G18" s="402"/>
      <c r="H18" s="402"/>
      <c r="I18" s="402"/>
      <c r="J18" s="402"/>
    </row>
    <row r="19" ht="15.75" hidden="1" thickBot="1">
      <c r="I19" s="134">
        <v>1.6</v>
      </c>
    </row>
    <row r="20" spans="1:10" ht="36" customHeight="1" hidden="1" thickBot="1">
      <c r="A20" s="371" t="s">
        <v>0</v>
      </c>
      <c r="B20" s="371" t="s">
        <v>117</v>
      </c>
      <c r="C20" s="371" t="s">
        <v>349</v>
      </c>
      <c r="D20" s="405" t="s">
        <v>118</v>
      </c>
      <c r="E20" s="406"/>
      <c r="F20" s="406"/>
      <c r="G20" s="407"/>
      <c r="H20" s="371" t="s">
        <v>119</v>
      </c>
      <c r="I20" s="371" t="s">
        <v>120</v>
      </c>
      <c r="J20" s="371" t="s">
        <v>350</v>
      </c>
    </row>
    <row r="21" spans="1:10" ht="19.5" hidden="1" thickBot="1">
      <c r="A21" s="404"/>
      <c r="B21" s="404"/>
      <c r="C21" s="404"/>
      <c r="D21" s="371" t="s">
        <v>121</v>
      </c>
      <c r="E21" s="405" t="s">
        <v>22</v>
      </c>
      <c r="F21" s="406"/>
      <c r="G21" s="407"/>
      <c r="H21" s="404"/>
      <c r="I21" s="404"/>
      <c r="J21" s="404"/>
    </row>
    <row r="22" spans="1:10" ht="109.5" customHeight="1" hidden="1" thickBot="1">
      <c r="A22" s="372"/>
      <c r="B22" s="372"/>
      <c r="C22" s="372"/>
      <c r="D22" s="372"/>
      <c r="E22" s="112" t="s">
        <v>122</v>
      </c>
      <c r="F22" s="112" t="s">
        <v>123</v>
      </c>
      <c r="G22" s="112" t="s">
        <v>124</v>
      </c>
      <c r="H22" s="372"/>
      <c r="I22" s="372"/>
      <c r="J22" s="372"/>
    </row>
    <row r="23" spans="1:10" ht="19.5" hidden="1" thickBot="1">
      <c r="A23" s="264">
        <v>1</v>
      </c>
      <c r="B23" s="112">
        <v>2</v>
      </c>
      <c r="C23" s="112">
        <v>3</v>
      </c>
      <c r="D23" s="112">
        <v>4</v>
      </c>
      <c r="E23" s="112">
        <v>5</v>
      </c>
      <c r="F23" s="112">
        <v>6</v>
      </c>
      <c r="G23" s="112">
        <v>7</v>
      </c>
      <c r="H23" s="112">
        <v>8</v>
      </c>
      <c r="I23" s="112">
        <v>9</v>
      </c>
      <c r="J23" s="112">
        <v>10</v>
      </c>
    </row>
    <row r="24" spans="1:13" ht="19.5" hidden="1" thickBot="1">
      <c r="A24" s="264"/>
      <c r="B24" s="264" t="s">
        <v>286</v>
      </c>
      <c r="C24" s="112"/>
      <c r="D24" s="113"/>
      <c r="E24" s="113"/>
      <c r="F24" s="113"/>
      <c r="G24" s="113"/>
      <c r="H24" s="113"/>
      <c r="I24" s="113"/>
      <c r="J24" s="113"/>
      <c r="L24" s="218"/>
      <c r="M24" s="218"/>
    </row>
    <row r="25" spans="1:13" ht="19.5" hidden="1" thickBot="1">
      <c r="A25" s="264"/>
      <c r="B25" s="264" t="s">
        <v>287</v>
      </c>
      <c r="C25" s="112"/>
      <c r="D25" s="113"/>
      <c r="E25" s="113"/>
      <c r="F25" s="113"/>
      <c r="G25" s="113"/>
      <c r="H25" s="222"/>
      <c r="I25" s="113"/>
      <c r="J25" s="113"/>
      <c r="L25" s="218"/>
      <c r="M25" s="218"/>
    </row>
    <row r="26" spans="1:12" ht="19.5" hidden="1" thickBot="1">
      <c r="A26" s="223"/>
      <c r="B26" s="264" t="s">
        <v>288</v>
      </c>
      <c r="C26" s="112"/>
      <c r="D26" s="113"/>
      <c r="E26" s="113"/>
      <c r="F26" s="113"/>
      <c r="G26" s="113"/>
      <c r="H26" s="113"/>
      <c r="I26" s="113"/>
      <c r="J26" s="113"/>
      <c r="L26" s="218"/>
    </row>
    <row r="27" spans="1:19" ht="19.5" hidden="1" thickBot="1">
      <c r="A27" s="223"/>
      <c r="B27" s="264" t="s">
        <v>289</v>
      </c>
      <c r="C27" s="112"/>
      <c r="D27" s="113"/>
      <c r="E27" s="149"/>
      <c r="F27" s="149"/>
      <c r="G27" s="113"/>
      <c r="H27" s="112"/>
      <c r="I27" s="113"/>
      <c r="J27" s="113"/>
      <c r="L27" s="218"/>
      <c r="M27" s="218"/>
      <c r="R27" s="218">
        <f>L27-J28</f>
        <v>0</v>
      </c>
      <c r="S27" s="244">
        <f>R27-259000-100000</f>
        <v>-359000</v>
      </c>
    </row>
    <row r="28" spans="1:12" ht="39.75" customHeight="1" hidden="1" thickBot="1">
      <c r="A28" s="409" t="s">
        <v>125</v>
      </c>
      <c r="B28" s="410"/>
      <c r="C28" s="224" t="s">
        <v>126</v>
      </c>
      <c r="D28" s="224"/>
      <c r="E28" s="224" t="s">
        <v>126</v>
      </c>
      <c r="F28" s="224" t="s">
        <v>126</v>
      </c>
      <c r="G28" s="224" t="s">
        <v>126</v>
      </c>
      <c r="H28" s="225" t="s">
        <v>126</v>
      </c>
      <c r="I28" s="224" t="s">
        <v>126</v>
      </c>
      <c r="J28" s="210">
        <f>SUM(J24:J27)</f>
        <v>0</v>
      </c>
      <c r="L28" s="218"/>
    </row>
    <row r="29" spans="12:13" ht="15" hidden="1">
      <c r="L29" s="247"/>
      <c r="M29" s="218"/>
    </row>
    <row r="30" spans="12:13" ht="15" hidden="1">
      <c r="L30" s="218"/>
      <c r="M30" s="218"/>
    </row>
    <row r="31" spans="1:12" ht="38.25" customHeight="1" hidden="1">
      <c r="A31" s="408" t="s">
        <v>170</v>
      </c>
      <c r="B31" s="408"/>
      <c r="C31" s="408"/>
      <c r="D31" s="408"/>
      <c r="E31" s="408"/>
      <c r="F31" s="408"/>
      <c r="L31" s="218"/>
    </row>
    <row r="32" ht="15.75" hidden="1" thickBot="1">
      <c r="L32" s="218"/>
    </row>
    <row r="33" spans="1:12" ht="123" customHeight="1" hidden="1" thickBot="1">
      <c r="A33" s="136" t="s">
        <v>0</v>
      </c>
      <c r="B33" s="268" t="s">
        <v>127</v>
      </c>
      <c r="C33" s="268" t="s">
        <v>128</v>
      </c>
      <c r="D33" s="268" t="s">
        <v>129</v>
      </c>
      <c r="E33" s="268" t="s">
        <v>130</v>
      </c>
      <c r="F33" s="268" t="s">
        <v>131</v>
      </c>
      <c r="L33" s="218"/>
    </row>
    <row r="34" spans="1:6" ht="19.5" hidden="1" thickBot="1">
      <c r="A34" s="264">
        <v>1</v>
      </c>
      <c r="B34" s="112">
        <v>2</v>
      </c>
      <c r="C34" s="112">
        <v>3</v>
      </c>
      <c r="D34" s="112">
        <v>4</v>
      </c>
      <c r="E34" s="112">
        <v>5</v>
      </c>
      <c r="F34" s="112">
        <v>6</v>
      </c>
    </row>
    <row r="35" spans="1:6" ht="19.5" hidden="1" thickBot="1">
      <c r="A35" s="264">
        <v>1</v>
      </c>
      <c r="B35" s="112"/>
      <c r="C35" s="149">
        <v>0</v>
      </c>
      <c r="D35" s="149">
        <v>0</v>
      </c>
      <c r="E35" s="149">
        <v>0</v>
      </c>
      <c r="F35" s="149">
        <f>C35*D35*E35</f>
        <v>0</v>
      </c>
    </row>
    <row r="36" spans="1:6" ht="19.5" hidden="1" thickBot="1">
      <c r="A36" s="264"/>
      <c r="B36" s="140" t="s">
        <v>125</v>
      </c>
      <c r="C36" s="141" t="s">
        <v>126</v>
      </c>
      <c r="D36" s="141" t="s">
        <v>126</v>
      </c>
      <c r="E36" s="141" t="s">
        <v>126</v>
      </c>
      <c r="F36" s="226">
        <f>F35</f>
        <v>0</v>
      </c>
    </row>
    <row r="37" ht="15" hidden="1"/>
    <row r="38" spans="1:6" ht="18.75" hidden="1">
      <c r="A38" s="408" t="s">
        <v>171</v>
      </c>
      <c r="B38" s="408"/>
      <c r="C38" s="408"/>
      <c r="D38" s="408"/>
      <c r="E38" s="408"/>
      <c r="F38" s="408"/>
    </row>
    <row r="39" ht="15.75" hidden="1" thickBot="1"/>
    <row r="40" spans="1:6" ht="124.5" customHeight="1" hidden="1" thickBot="1">
      <c r="A40" s="136" t="s">
        <v>0</v>
      </c>
      <c r="B40" s="268" t="s">
        <v>127</v>
      </c>
      <c r="C40" s="268" t="s">
        <v>132</v>
      </c>
      <c r="D40" s="268" t="s">
        <v>133</v>
      </c>
      <c r="E40" s="268" t="s">
        <v>134</v>
      </c>
      <c r="F40" s="268" t="s">
        <v>131</v>
      </c>
    </row>
    <row r="41" spans="1:6" ht="19.5" hidden="1" thickBot="1">
      <c r="A41" s="264">
        <v>1</v>
      </c>
      <c r="B41" s="112">
        <v>2</v>
      </c>
      <c r="C41" s="112">
        <v>3</v>
      </c>
      <c r="D41" s="112">
        <v>4</v>
      </c>
      <c r="E41" s="112">
        <v>5</v>
      </c>
      <c r="F41" s="112">
        <v>6</v>
      </c>
    </row>
    <row r="42" spans="1:6" ht="51.75" customHeight="1" hidden="1" thickBot="1">
      <c r="A42" s="264">
        <v>1</v>
      </c>
      <c r="B42" s="112" t="s">
        <v>290</v>
      </c>
      <c r="C42" s="112"/>
      <c r="D42" s="112"/>
      <c r="E42" s="149"/>
      <c r="F42" s="149">
        <f>C42*D42*E42</f>
        <v>0</v>
      </c>
    </row>
    <row r="43" spans="1:6" ht="19.5" hidden="1" thickBot="1">
      <c r="A43" s="264"/>
      <c r="B43" s="140" t="s">
        <v>125</v>
      </c>
      <c r="C43" s="141" t="s">
        <v>126</v>
      </c>
      <c r="D43" s="141" t="s">
        <v>126</v>
      </c>
      <c r="E43" s="141" t="s">
        <v>126</v>
      </c>
      <c r="F43" s="142">
        <f>F42</f>
        <v>0</v>
      </c>
    </row>
    <row r="44" ht="15" hidden="1"/>
    <row r="45" spans="1:5" ht="80.25" customHeight="1" hidden="1">
      <c r="A45" s="408" t="s">
        <v>172</v>
      </c>
      <c r="B45" s="408"/>
      <c r="C45" s="408"/>
      <c r="D45" s="408"/>
      <c r="E45" s="408"/>
    </row>
    <row r="46" ht="15.75" hidden="1" thickBot="1"/>
    <row r="47" spans="1:4" ht="144.75" customHeight="1" hidden="1" thickBot="1">
      <c r="A47" s="136" t="s">
        <v>0</v>
      </c>
      <c r="B47" s="268" t="s">
        <v>135</v>
      </c>
      <c r="C47" s="268" t="s">
        <v>136</v>
      </c>
      <c r="D47" s="268" t="s">
        <v>137</v>
      </c>
    </row>
    <row r="48" spans="1:4" ht="19.5" hidden="1" thickBot="1">
      <c r="A48" s="264">
        <v>1</v>
      </c>
      <c r="B48" s="112">
        <v>2</v>
      </c>
      <c r="C48" s="112">
        <v>3</v>
      </c>
      <c r="D48" s="112">
        <v>4</v>
      </c>
    </row>
    <row r="49" spans="1:4" ht="113.25" customHeight="1" hidden="1" thickBot="1">
      <c r="A49" s="264">
        <v>1</v>
      </c>
      <c r="B49" s="150" t="s">
        <v>138</v>
      </c>
      <c r="C49" s="112" t="s">
        <v>126</v>
      </c>
      <c r="D49" s="113"/>
    </row>
    <row r="50" spans="1:4" ht="18.75" hidden="1">
      <c r="A50" s="371" t="s">
        <v>139</v>
      </c>
      <c r="B50" s="178" t="s">
        <v>22</v>
      </c>
      <c r="C50" s="371"/>
      <c r="D50" s="367"/>
    </row>
    <row r="51" spans="1:4" ht="19.5" hidden="1" thickBot="1">
      <c r="A51" s="372"/>
      <c r="B51" s="179" t="s">
        <v>140</v>
      </c>
      <c r="C51" s="372"/>
      <c r="D51" s="368"/>
    </row>
    <row r="52" spans="1:4" ht="19.5" hidden="1" thickBot="1">
      <c r="A52" s="264" t="s">
        <v>141</v>
      </c>
      <c r="B52" s="180" t="s">
        <v>142</v>
      </c>
      <c r="C52" s="112"/>
      <c r="D52" s="113"/>
    </row>
    <row r="53" spans="1:4" ht="120.75" customHeight="1" hidden="1" thickBot="1">
      <c r="A53" s="264">
        <v>2</v>
      </c>
      <c r="B53" s="150" t="s">
        <v>143</v>
      </c>
      <c r="C53" s="112" t="s">
        <v>126</v>
      </c>
      <c r="D53" s="113"/>
    </row>
    <row r="54" spans="1:4" ht="164.25" customHeight="1" hidden="1" thickBot="1">
      <c r="A54" s="264">
        <v>3</v>
      </c>
      <c r="B54" s="150" t="s">
        <v>144</v>
      </c>
      <c r="C54" s="113">
        <f>J28</f>
        <v>0</v>
      </c>
      <c r="D54" s="113">
        <f>C54*5.1%</f>
        <v>0</v>
      </c>
    </row>
    <row r="55" spans="1:4" ht="19.5" hidden="1" thickBot="1">
      <c r="A55" s="264"/>
      <c r="B55" s="140" t="s">
        <v>125</v>
      </c>
      <c r="C55" s="141" t="s">
        <v>126</v>
      </c>
      <c r="D55" s="163">
        <f>D50+D53+D54</f>
        <v>0</v>
      </c>
    </row>
    <row r="56" ht="15" hidden="1"/>
    <row r="57" spans="1:6" ht="36" customHeight="1" hidden="1">
      <c r="A57" s="408" t="s">
        <v>173</v>
      </c>
      <c r="B57" s="408"/>
      <c r="C57" s="408"/>
      <c r="D57" s="408"/>
      <c r="E57" s="408"/>
      <c r="F57" s="408"/>
    </row>
    <row r="58" ht="15" hidden="1"/>
    <row r="59" spans="1:6" ht="18.75" hidden="1">
      <c r="A59" s="411" t="s">
        <v>174</v>
      </c>
      <c r="B59" s="411"/>
      <c r="C59" s="411"/>
      <c r="D59" s="411"/>
      <c r="E59" s="411"/>
      <c r="F59" s="411"/>
    </row>
    <row r="60" spans="1:6" ht="18.75" hidden="1">
      <c r="A60" s="411" t="s">
        <v>175</v>
      </c>
      <c r="B60" s="411"/>
      <c r="C60" s="411"/>
      <c r="D60" s="411"/>
      <c r="E60" s="411"/>
      <c r="F60" s="411"/>
    </row>
    <row r="61" ht="19.5" hidden="1" thickBot="1">
      <c r="A61" s="135"/>
    </row>
    <row r="62" spans="1:5" ht="108" customHeight="1" hidden="1" thickBot="1">
      <c r="A62" s="136" t="s">
        <v>0</v>
      </c>
      <c r="B62" s="268" t="s">
        <v>1</v>
      </c>
      <c r="C62" s="268" t="s">
        <v>145</v>
      </c>
      <c r="D62" s="268" t="s">
        <v>146</v>
      </c>
      <c r="E62" s="268" t="s">
        <v>147</v>
      </c>
    </row>
    <row r="63" spans="1:5" ht="19.5" hidden="1" thickBot="1">
      <c r="A63" s="264">
        <v>1</v>
      </c>
      <c r="B63" s="112">
        <v>2</v>
      </c>
      <c r="C63" s="112">
        <v>3</v>
      </c>
      <c r="D63" s="112">
        <v>4</v>
      </c>
      <c r="E63" s="112">
        <v>5</v>
      </c>
    </row>
    <row r="64" spans="1:5" ht="19.5" hidden="1" thickBot="1">
      <c r="A64" s="264"/>
      <c r="B64" s="112"/>
      <c r="C64" s="112"/>
      <c r="D64" s="112"/>
      <c r="E64" s="112"/>
    </row>
    <row r="65" spans="1:5" ht="19.5" hidden="1" thickBot="1">
      <c r="A65" s="264"/>
      <c r="B65" s="140" t="s">
        <v>125</v>
      </c>
      <c r="C65" s="141" t="s">
        <v>126</v>
      </c>
      <c r="D65" s="141" t="s">
        <v>126</v>
      </c>
      <c r="E65" s="141"/>
    </row>
    <row r="66" ht="15" hidden="1"/>
    <row r="67" ht="15" hidden="1"/>
    <row r="68" spans="1:7" ht="18.75" hidden="1">
      <c r="A68" s="402" t="s">
        <v>434</v>
      </c>
      <c r="B68" s="402"/>
      <c r="C68" s="402"/>
      <c r="D68" s="402"/>
      <c r="E68" s="402"/>
      <c r="F68" s="402"/>
      <c r="G68" s="402"/>
    </row>
    <row r="69" ht="18.75" hidden="1">
      <c r="A69" s="267"/>
    </row>
    <row r="70" ht="18.75" hidden="1">
      <c r="A70" s="135"/>
    </row>
    <row r="71" spans="1:7" ht="18.75" hidden="1">
      <c r="A71" s="411" t="s">
        <v>436</v>
      </c>
      <c r="B71" s="411"/>
      <c r="C71" s="411"/>
      <c r="D71" s="411"/>
      <c r="E71" s="411"/>
      <c r="F71" s="411"/>
      <c r="G71" s="411"/>
    </row>
    <row r="72" spans="1:7" ht="18.75" hidden="1">
      <c r="A72" s="411" t="s">
        <v>352</v>
      </c>
      <c r="B72" s="411"/>
      <c r="C72" s="411"/>
      <c r="D72" s="411"/>
      <c r="E72" s="411"/>
      <c r="F72" s="411"/>
      <c r="G72" s="411"/>
    </row>
    <row r="73" ht="19.5" hidden="1" thickBot="1">
      <c r="A73" s="135"/>
    </row>
    <row r="74" spans="1:5" ht="141.75" customHeight="1" hidden="1" thickBot="1">
      <c r="A74" s="136" t="s">
        <v>0</v>
      </c>
      <c r="B74" s="268" t="s">
        <v>127</v>
      </c>
      <c r="C74" s="268" t="s">
        <v>148</v>
      </c>
      <c r="D74" s="268" t="s">
        <v>149</v>
      </c>
      <c r="E74" s="268" t="s">
        <v>150</v>
      </c>
    </row>
    <row r="75" spans="1:5" ht="19.5" hidden="1" thickBot="1">
      <c r="A75" s="264">
        <v>1</v>
      </c>
      <c r="B75" s="112">
        <v>2</v>
      </c>
      <c r="C75" s="112">
        <v>3</v>
      </c>
      <c r="D75" s="112">
        <v>4</v>
      </c>
      <c r="E75" s="112">
        <v>5</v>
      </c>
    </row>
    <row r="76" spans="1:8" ht="19.5" hidden="1" thickBot="1">
      <c r="A76" s="264">
        <v>1</v>
      </c>
      <c r="B76" s="112" t="s">
        <v>358</v>
      </c>
      <c r="C76" s="139"/>
      <c r="D76" s="139"/>
      <c r="E76" s="139"/>
      <c r="H76" s="183"/>
    </row>
    <row r="77" spans="1:5" ht="27" customHeight="1" hidden="1" thickBot="1">
      <c r="A77" s="264">
        <v>2</v>
      </c>
      <c r="B77" s="112" t="s">
        <v>294</v>
      </c>
      <c r="C77" s="139"/>
      <c r="D77" s="139"/>
      <c r="E77" s="139"/>
    </row>
    <row r="78" spans="1:5" ht="19.5" hidden="1" thickBot="1">
      <c r="A78" s="264"/>
      <c r="B78" s="140" t="s">
        <v>125</v>
      </c>
      <c r="C78" s="142"/>
      <c r="D78" s="142" t="s">
        <v>126</v>
      </c>
      <c r="E78" s="142">
        <f>E77+E76</f>
        <v>0</v>
      </c>
    </row>
    <row r="79" ht="15" hidden="1"/>
    <row r="80" spans="1:9" ht="18.75">
      <c r="A80" s="402" t="s">
        <v>328</v>
      </c>
      <c r="B80" s="402"/>
      <c r="C80" s="402"/>
      <c r="D80" s="402"/>
      <c r="E80" s="402"/>
      <c r="F80" s="402"/>
      <c r="G80" s="402"/>
      <c r="H80" s="402"/>
      <c r="I80" s="402"/>
    </row>
    <row r="81" ht="2.25" customHeight="1">
      <c r="A81" s="267"/>
    </row>
    <row r="82" ht="18.75">
      <c r="A82" s="184" t="s">
        <v>296</v>
      </c>
    </row>
    <row r="83" spans="1:7" ht="18.75">
      <c r="A83" s="269" t="s">
        <v>352</v>
      </c>
      <c r="B83" s="269"/>
      <c r="C83" s="269"/>
      <c r="D83" s="269"/>
      <c r="E83" s="269"/>
      <c r="F83" s="269"/>
      <c r="G83" s="269"/>
    </row>
    <row r="84" spans="1:6" ht="18.75" customHeight="1" hidden="1">
      <c r="A84" s="402" t="s">
        <v>360</v>
      </c>
      <c r="B84" s="402"/>
      <c r="C84" s="402"/>
      <c r="D84" s="402"/>
      <c r="E84" s="402"/>
      <c r="F84" s="402"/>
    </row>
    <row r="85" ht="15.75" hidden="1" thickBot="1"/>
    <row r="86" spans="1:7" ht="44.25" customHeight="1" hidden="1" thickBot="1">
      <c r="A86" s="136" t="s">
        <v>0</v>
      </c>
      <c r="B86" s="177" t="s">
        <v>1</v>
      </c>
      <c r="C86" s="177" t="s">
        <v>301</v>
      </c>
      <c r="D86" s="177" t="s">
        <v>302</v>
      </c>
      <c r="E86" s="177" t="s">
        <v>157</v>
      </c>
      <c r="F86" s="177" t="s">
        <v>158</v>
      </c>
      <c r="G86" s="177" t="s">
        <v>401</v>
      </c>
    </row>
    <row r="87" spans="1:7" ht="19.5" hidden="1" thickBot="1">
      <c r="A87" s="264">
        <v>1</v>
      </c>
      <c r="B87" s="112">
        <v>2</v>
      </c>
      <c r="C87" s="112">
        <v>3</v>
      </c>
      <c r="D87" s="112">
        <v>4</v>
      </c>
      <c r="E87" s="112">
        <v>5</v>
      </c>
      <c r="F87" s="112">
        <v>6</v>
      </c>
      <c r="G87" s="112">
        <v>7</v>
      </c>
    </row>
    <row r="88" spans="1:11" ht="23.25" customHeight="1" hidden="1" thickBot="1">
      <c r="A88" s="264">
        <v>1</v>
      </c>
      <c r="B88" s="264" t="s">
        <v>303</v>
      </c>
      <c r="C88" s="149" t="s">
        <v>304</v>
      </c>
      <c r="D88" s="149">
        <v>0.336845736281133</v>
      </c>
      <c r="E88" s="149">
        <v>6103.03108686</v>
      </c>
      <c r="F88" s="112"/>
      <c r="G88" s="186"/>
      <c r="K88" s="248"/>
    </row>
    <row r="89" spans="1:11" ht="23.25" customHeight="1" hidden="1" thickBot="1">
      <c r="A89" s="264">
        <v>2</v>
      </c>
      <c r="B89" s="264" t="s">
        <v>306</v>
      </c>
      <c r="C89" s="149" t="s">
        <v>331</v>
      </c>
      <c r="D89" s="149">
        <v>481.9498164014688</v>
      </c>
      <c r="E89" s="149">
        <v>8.17</v>
      </c>
      <c r="F89" s="112"/>
      <c r="G89" s="186"/>
      <c r="K89" s="248"/>
    </row>
    <row r="90" spans="1:11" ht="23.25" customHeight="1" hidden="1" thickBot="1">
      <c r="A90" s="264">
        <v>3</v>
      </c>
      <c r="B90" s="264" t="s">
        <v>307</v>
      </c>
      <c r="C90" s="149" t="s">
        <v>353</v>
      </c>
      <c r="D90" s="149">
        <v>2.2272189349112423</v>
      </c>
      <c r="E90" s="149">
        <v>50.7</v>
      </c>
      <c r="F90" s="112"/>
      <c r="G90" s="186"/>
      <c r="K90" s="248"/>
    </row>
    <row r="91" spans="1:12" ht="23.25" customHeight="1" hidden="1" thickBot="1">
      <c r="A91" s="264">
        <v>4</v>
      </c>
      <c r="B91" s="264" t="s">
        <v>309</v>
      </c>
      <c r="C91" s="149" t="s">
        <v>353</v>
      </c>
      <c r="D91" s="149">
        <v>2.2272851296043656</v>
      </c>
      <c r="E91" s="149">
        <v>36.65</v>
      </c>
      <c r="F91" s="112"/>
      <c r="G91" s="186"/>
      <c r="K91" s="248"/>
      <c r="L91" s="249"/>
    </row>
    <row r="92" spans="1:11" ht="47.25" customHeight="1" hidden="1" thickBot="1">
      <c r="A92" s="264">
        <v>6</v>
      </c>
      <c r="B92" s="264" t="s">
        <v>310</v>
      </c>
      <c r="C92" s="149" t="s">
        <v>353</v>
      </c>
      <c r="D92" s="149"/>
      <c r="E92" s="149"/>
      <c r="F92" s="112"/>
      <c r="G92" s="186"/>
      <c r="K92" s="250"/>
    </row>
    <row r="93" spans="1:7" ht="19.5" hidden="1" thickBot="1">
      <c r="A93" s="264"/>
      <c r="B93" s="140" t="s">
        <v>125</v>
      </c>
      <c r="C93" s="141" t="s">
        <v>126</v>
      </c>
      <c r="D93" s="141" t="s">
        <v>126</v>
      </c>
      <c r="E93" s="141" t="s">
        <v>126</v>
      </c>
      <c r="F93" s="141" t="s">
        <v>126</v>
      </c>
      <c r="G93" s="209">
        <f>SUM(G88:G92)</f>
        <v>0</v>
      </c>
    </row>
    <row r="94" ht="11.25" customHeight="1" hidden="1"/>
    <row r="95" ht="18.75" customHeight="1" hidden="1">
      <c r="K95" s="183"/>
    </row>
    <row r="96" ht="19.5" customHeight="1" hidden="1"/>
    <row r="97" spans="1:5" ht="26.25" customHeight="1">
      <c r="A97" s="408" t="s">
        <v>435</v>
      </c>
      <c r="B97" s="408"/>
      <c r="C97" s="408"/>
      <c r="D97" s="408"/>
      <c r="E97" s="408"/>
    </row>
    <row r="98" ht="19.5" customHeight="1" thickBot="1">
      <c r="A98" s="135"/>
    </row>
    <row r="99" spans="1:5" ht="57" customHeight="1" thickBot="1">
      <c r="A99" s="136" t="s">
        <v>0</v>
      </c>
      <c r="B99" s="268" t="s">
        <v>127</v>
      </c>
      <c r="C99" s="268" t="s">
        <v>163</v>
      </c>
      <c r="D99" s="268" t="s">
        <v>164</v>
      </c>
      <c r="E99" s="268" t="s">
        <v>165</v>
      </c>
    </row>
    <row r="100" spans="1:5" ht="19.5" customHeight="1" thickBot="1">
      <c r="A100" s="264">
        <v>1</v>
      </c>
      <c r="B100" s="112">
        <v>2</v>
      </c>
      <c r="C100" s="112">
        <v>3</v>
      </c>
      <c r="D100" s="112">
        <v>4</v>
      </c>
      <c r="E100" s="112">
        <v>5</v>
      </c>
    </row>
    <row r="101" spans="1:5" ht="43.5" customHeight="1" thickBot="1">
      <c r="A101" s="264">
        <v>1</v>
      </c>
      <c r="B101" s="138" t="s">
        <v>362</v>
      </c>
      <c r="C101" s="112"/>
      <c r="D101" s="112"/>
      <c r="E101" s="139">
        <v>9544.9</v>
      </c>
    </row>
    <row r="102" spans="1:5" ht="38.25" customHeight="1" hidden="1" thickBot="1">
      <c r="A102" s="264">
        <v>2</v>
      </c>
      <c r="B102" s="138" t="s">
        <v>346</v>
      </c>
      <c r="C102" s="112"/>
      <c r="D102" s="112">
        <v>12</v>
      </c>
      <c r="E102" s="139"/>
    </row>
    <row r="103" spans="1:5" ht="38.25" customHeight="1" hidden="1" thickBot="1">
      <c r="A103" s="264">
        <v>3</v>
      </c>
      <c r="B103" s="138" t="s">
        <v>314</v>
      </c>
      <c r="C103" s="112"/>
      <c r="D103" s="112">
        <v>12</v>
      </c>
      <c r="E103" s="139"/>
    </row>
    <row r="104" spans="1:5" ht="75.75" customHeight="1" hidden="1" thickBot="1">
      <c r="A104" s="264">
        <v>4</v>
      </c>
      <c r="B104" s="138" t="s">
        <v>329</v>
      </c>
      <c r="C104" s="112"/>
      <c r="D104" s="112">
        <v>12</v>
      </c>
      <c r="E104" s="139"/>
    </row>
    <row r="105" spans="1:5" ht="24.75" customHeight="1" hidden="1" thickBot="1">
      <c r="A105" s="264">
        <v>5</v>
      </c>
      <c r="B105" s="138" t="s">
        <v>315</v>
      </c>
      <c r="C105" s="112"/>
      <c r="D105" s="112">
        <v>12</v>
      </c>
      <c r="E105" s="139"/>
    </row>
    <row r="106" spans="1:5" ht="94.5" customHeight="1" hidden="1" thickBot="1">
      <c r="A106" s="264">
        <v>6</v>
      </c>
      <c r="B106" s="138" t="s">
        <v>316</v>
      </c>
      <c r="C106" s="112"/>
      <c r="D106" s="112">
        <v>12</v>
      </c>
      <c r="E106" s="139"/>
    </row>
    <row r="107" spans="1:5" ht="38.25" customHeight="1" hidden="1" thickBot="1">
      <c r="A107" s="264">
        <v>7</v>
      </c>
      <c r="B107" s="138" t="s">
        <v>317</v>
      </c>
      <c r="C107" s="112"/>
      <c r="D107" s="112"/>
      <c r="E107" s="139"/>
    </row>
    <row r="108" spans="1:5" ht="75.75" customHeight="1" hidden="1" thickBot="1">
      <c r="A108" s="264">
        <v>8</v>
      </c>
      <c r="B108" s="138" t="s">
        <v>330</v>
      </c>
      <c r="C108" s="112"/>
      <c r="D108" s="112">
        <v>4</v>
      </c>
      <c r="E108" s="139"/>
    </row>
    <row r="109" spans="1:5" ht="36" customHeight="1" hidden="1" thickBot="1">
      <c r="A109" s="264">
        <v>1</v>
      </c>
      <c r="B109" s="138" t="s">
        <v>362</v>
      </c>
      <c r="C109" s="112"/>
      <c r="D109" s="112"/>
      <c r="E109" s="139">
        <v>0</v>
      </c>
    </row>
    <row r="110" spans="1:5" ht="73.5" customHeight="1" hidden="1" thickBot="1">
      <c r="A110" s="264">
        <v>2</v>
      </c>
      <c r="B110" s="138" t="s">
        <v>363</v>
      </c>
      <c r="C110" s="112"/>
      <c r="D110" s="112"/>
      <c r="E110" s="139">
        <v>0</v>
      </c>
    </row>
    <row r="111" spans="1:5" ht="38.25" customHeight="1" hidden="1" thickBot="1">
      <c r="A111" s="264">
        <v>11</v>
      </c>
      <c r="B111" s="138" t="s">
        <v>364</v>
      </c>
      <c r="C111" s="112"/>
      <c r="D111" s="112">
        <v>12</v>
      </c>
      <c r="E111" s="139"/>
    </row>
    <row r="112" spans="1:5" ht="19.5" customHeight="1" hidden="1" thickBot="1">
      <c r="A112" s="264">
        <v>12</v>
      </c>
      <c r="B112" s="138" t="s">
        <v>365</v>
      </c>
      <c r="C112" s="112"/>
      <c r="D112" s="112"/>
      <c r="E112" s="139"/>
    </row>
    <row r="113" spans="1:5" ht="57" customHeight="1" hidden="1" thickBot="1">
      <c r="A113" s="264">
        <v>13</v>
      </c>
      <c r="B113" s="138" t="s">
        <v>319</v>
      </c>
      <c r="C113" s="112"/>
      <c r="D113" s="112"/>
      <c r="E113" s="139"/>
    </row>
    <row r="114" spans="1:5" ht="38.25" customHeight="1" hidden="1" thickBot="1">
      <c r="A114" s="264">
        <v>14</v>
      </c>
      <c r="B114" s="138" t="s">
        <v>366</v>
      </c>
      <c r="C114" s="112"/>
      <c r="D114" s="112"/>
      <c r="E114" s="139"/>
    </row>
    <row r="115" spans="1:5" ht="19.5" hidden="1" thickBot="1">
      <c r="A115" s="264">
        <v>15</v>
      </c>
      <c r="B115" s="138" t="s">
        <v>320</v>
      </c>
      <c r="C115" s="112"/>
      <c r="D115" s="112">
        <v>1</v>
      </c>
      <c r="E115" s="139"/>
    </row>
    <row r="116" spans="1:6" ht="19.5" thickBot="1">
      <c r="A116" s="264"/>
      <c r="B116" s="140" t="s">
        <v>125</v>
      </c>
      <c r="C116" s="141" t="s">
        <v>126</v>
      </c>
      <c r="D116" s="141" t="s">
        <v>126</v>
      </c>
      <c r="E116" s="142">
        <f>SUM(E101:E115)</f>
        <v>9544.9</v>
      </c>
      <c r="F116" s="143"/>
    </row>
    <row r="117" ht="12.75" customHeight="1"/>
    <row r="118" spans="1:7" ht="18.75" hidden="1">
      <c r="A118" s="402" t="s">
        <v>176</v>
      </c>
      <c r="B118" s="402"/>
      <c r="C118" s="402"/>
      <c r="D118" s="402"/>
      <c r="E118" s="402"/>
      <c r="F118" s="402"/>
      <c r="G118" s="402"/>
    </row>
    <row r="119" ht="13.5" customHeight="1" hidden="1">
      <c r="A119" s="267"/>
    </row>
    <row r="120" ht="18.75" hidden="1">
      <c r="A120" s="135"/>
    </row>
    <row r="121" spans="1:7" ht="18.75" hidden="1">
      <c r="A121" s="411" t="s">
        <v>392</v>
      </c>
      <c r="B121" s="411"/>
      <c r="C121" s="411"/>
      <c r="D121" s="411"/>
      <c r="E121" s="411"/>
      <c r="F121" s="411"/>
      <c r="G121" s="411"/>
    </row>
    <row r="122" spans="1:7" ht="18.75" hidden="1">
      <c r="A122" s="411" t="s">
        <v>292</v>
      </c>
      <c r="B122" s="411"/>
      <c r="C122" s="411"/>
      <c r="D122" s="411"/>
      <c r="E122" s="411"/>
      <c r="F122" s="411"/>
      <c r="G122" s="411"/>
    </row>
    <row r="123" ht="0.75" customHeight="1" hidden="1" thickBot="1">
      <c r="A123" s="135"/>
    </row>
    <row r="124" spans="1:5" ht="72.75" customHeight="1" hidden="1" thickBot="1">
      <c r="A124" s="136" t="s">
        <v>0</v>
      </c>
      <c r="B124" s="177" t="s">
        <v>127</v>
      </c>
      <c r="C124" s="177" t="s">
        <v>148</v>
      </c>
      <c r="D124" s="177" t="s">
        <v>149</v>
      </c>
      <c r="E124" s="177" t="s">
        <v>398</v>
      </c>
    </row>
    <row r="125" spans="1:5" ht="19.5" hidden="1" thickBot="1">
      <c r="A125" s="264">
        <v>1</v>
      </c>
      <c r="B125" s="112">
        <v>2</v>
      </c>
      <c r="C125" s="112">
        <v>3</v>
      </c>
      <c r="D125" s="112">
        <v>4</v>
      </c>
      <c r="E125" s="112">
        <v>5</v>
      </c>
    </row>
    <row r="126" spans="1:24" ht="19.5" hidden="1" thickBot="1">
      <c r="A126" s="264">
        <v>1</v>
      </c>
      <c r="B126" s="112" t="s">
        <v>293</v>
      </c>
      <c r="C126" s="139">
        <v>39828025.00000001</v>
      </c>
      <c r="D126" s="139">
        <v>2.2</v>
      </c>
      <c r="E126" s="182"/>
      <c r="H126" s="183"/>
      <c r="X126" s="134">
        <f>105614.75/0.022</f>
        <v>4800670.454545455</v>
      </c>
    </row>
    <row r="127" spans="1:5" ht="27" customHeight="1" hidden="1" thickBot="1">
      <c r="A127" s="264">
        <v>2</v>
      </c>
      <c r="B127" s="112" t="s">
        <v>294</v>
      </c>
      <c r="C127" s="139">
        <v>680547.9266666666</v>
      </c>
      <c r="D127" s="139">
        <v>1.5</v>
      </c>
      <c r="E127" s="182"/>
    </row>
    <row r="128" spans="1:5" ht="27" customHeight="1" hidden="1" thickBot="1">
      <c r="A128" s="264">
        <v>3</v>
      </c>
      <c r="B128" s="112" t="s">
        <v>382</v>
      </c>
      <c r="C128" s="139">
        <v>10080</v>
      </c>
      <c r="D128" s="139"/>
      <c r="E128" s="182"/>
    </row>
    <row r="129" spans="1:5" ht="27" customHeight="1" hidden="1" thickBot="1">
      <c r="A129" s="264">
        <v>4</v>
      </c>
      <c r="B129" s="112" t="s">
        <v>382</v>
      </c>
      <c r="C129" s="139">
        <v>2520</v>
      </c>
      <c r="D129" s="139"/>
      <c r="E129" s="182"/>
    </row>
    <row r="130" spans="1:5" ht="27" customHeight="1" hidden="1" thickBot="1">
      <c r="A130" s="264">
        <v>5</v>
      </c>
      <c r="B130" s="112" t="s">
        <v>406</v>
      </c>
      <c r="C130" s="139"/>
      <c r="D130" s="139"/>
      <c r="E130" s="182"/>
    </row>
    <row r="131" spans="1:5" ht="19.5" hidden="1" thickBot="1">
      <c r="A131" s="264"/>
      <c r="B131" s="140" t="s">
        <v>125</v>
      </c>
      <c r="C131" s="142"/>
      <c r="D131" s="142" t="s">
        <v>126</v>
      </c>
      <c r="E131" s="142">
        <f>SUM(E126:E130)</f>
        <v>0</v>
      </c>
    </row>
    <row r="132" ht="15" hidden="1"/>
    <row r="133" spans="1:5" ht="24" customHeight="1">
      <c r="A133" s="408" t="s">
        <v>456</v>
      </c>
      <c r="B133" s="408"/>
      <c r="C133" s="408"/>
      <c r="D133" s="408"/>
      <c r="E133" s="408"/>
    </row>
    <row r="134" ht="8.25" customHeight="1" thickBot="1">
      <c r="A134" s="135"/>
    </row>
    <row r="135" spans="1:4" ht="38.25" thickBot="1">
      <c r="A135" s="136" t="s">
        <v>0</v>
      </c>
      <c r="B135" s="268" t="s">
        <v>127</v>
      </c>
      <c r="C135" s="268" t="s">
        <v>166</v>
      </c>
      <c r="D135" s="268" t="s">
        <v>167</v>
      </c>
    </row>
    <row r="136" spans="1:4" ht="19.5" thickBot="1">
      <c r="A136" s="264">
        <v>1</v>
      </c>
      <c r="B136" s="112">
        <v>2</v>
      </c>
      <c r="C136" s="112">
        <v>3</v>
      </c>
      <c r="D136" s="112">
        <v>4</v>
      </c>
    </row>
    <row r="137" spans="1:4" ht="45" customHeight="1" hidden="1" thickBot="1">
      <c r="A137" s="264">
        <v>1</v>
      </c>
      <c r="B137" s="138" t="s">
        <v>405</v>
      </c>
      <c r="C137" s="112">
        <v>1</v>
      </c>
      <c r="D137" s="139">
        <v>0</v>
      </c>
    </row>
    <row r="138" spans="1:4" ht="45" customHeight="1" thickBot="1">
      <c r="A138" s="264">
        <v>2</v>
      </c>
      <c r="B138" s="138" t="s">
        <v>439</v>
      </c>
      <c r="C138" s="112"/>
      <c r="D138" s="139">
        <v>2503.65</v>
      </c>
    </row>
    <row r="139" spans="1:5" ht="19.5" thickBot="1">
      <c r="A139" s="264"/>
      <c r="B139" s="140" t="s">
        <v>125</v>
      </c>
      <c r="C139" s="141" t="s">
        <v>126</v>
      </c>
      <c r="D139" s="142">
        <f>SUM(D137:D138)</f>
        <v>2503.65</v>
      </c>
      <c r="E139" s="143"/>
    </row>
    <row r="141" spans="1:6" ht="33" customHeight="1">
      <c r="A141" s="408" t="s">
        <v>457</v>
      </c>
      <c r="B141" s="408"/>
      <c r="C141" s="408"/>
      <c r="D141" s="408"/>
      <c r="E141" s="408"/>
      <c r="F141" s="408"/>
    </row>
    <row r="142" ht="15.75" thickBot="1"/>
    <row r="143" spans="1:5" ht="32.25" thickBot="1">
      <c r="A143" s="136" t="s">
        <v>0</v>
      </c>
      <c r="B143" s="177" t="s">
        <v>127</v>
      </c>
      <c r="C143" s="177" t="s">
        <v>354</v>
      </c>
      <c r="D143" s="177" t="s">
        <v>168</v>
      </c>
      <c r="E143" s="177" t="s">
        <v>402</v>
      </c>
    </row>
    <row r="144" spans="1:5" ht="19.5" thickBot="1">
      <c r="A144" s="264"/>
      <c r="B144" s="112">
        <v>1</v>
      </c>
      <c r="C144" s="112">
        <v>2</v>
      </c>
      <c r="D144" s="112">
        <v>3</v>
      </c>
      <c r="E144" s="112">
        <v>4</v>
      </c>
    </row>
    <row r="145" spans="1:5" ht="29.25" customHeight="1" thickBot="1">
      <c r="A145" s="264">
        <v>1</v>
      </c>
      <c r="B145" s="138" t="s">
        <v>326</v>
      </c>
      <c r="C145" s="112"/>
      <c r="D145" s="139"/>
      <c r="E145" s="139">
        <f>SUM(E146:E147)</f>
        <v>426698.9999996949</v>
      </c>
    </row>
    <row r="146" spans="1:10" ht="29.25" customHeight="1" thickBot="1">
      <c r="A146" s="264" t="s">
        <v>139</v>
      </c>
      <c r="B146" s="138" t="s">
        <v>355</v>
      </c>
      <c r="C146" s="251">
        <f>2013.395933-77.46289911</f>
        <v>1935.93303389</v>
      </c>
      <c r="D146" s="139">
        <v>220.41</v>
      </c>
      <c r="E146" s="139">
        <f>C146*D146</f>
        <v>426698.9999996949</v>
      </c>
      <c r="I146" s="143">
        <f>426699-E148</f>
        <v>3.0512455850839615E-07</v>
      </c>
      <c r="J146" s="183">
        <f>I146/D146</f>
        <v>1.3843498866131127E-09</v>
      </c>
    </row>
    <row r="147" spans="1:6" ht="29.25" customHeight="1" hidden="1" thickBot="1">
      <c r="A147" s="264">
        <v>2</v>
      </c>
      <c r="B147" s="138" t="s">
        <v>356</v>
      </c>
      <c r="C147" s="112">
        <v>0</v>
      </c>
      <c r="D147" s="139">
        <f>D146/2</f>
        <v>110.205</v>
      </c>
      <c r="E147" s="139">
        <f>C147*D147</f>
        <v>0</v>
      </c>
      <c r="F147" s="143"/>
    </row>
    <row r="148" spans="1:5" ht="29.25" customHeight="1" thickBot="1">
      <c r="A148" s="265"/>
      <c r="B148" s="188" t="s">
        <v>327</v>
      </c>
      <c r="C148" s="141"/>
      <c r="D148" s="142"/>
      <c r="E148" s="142">
        <f>E145</f>
        <v>426698.9999996949</v>
      </c>
    </row>
    <row r="149" ht="3" customHeight="1"/>
    <row r="151" spans="1:9" ht="29.25" customHeight="1">
      <c r="A151" s="408" t="s">
        <v>458</v>
      </c>
      <c r="B151" s="408"/>
      <c r="C151" s="408"/>
      <c r="D151" s="408"/>
      <c r="E151" s="408"/>
      <c r="F151" s="408"/>
      <c r="G151" s="408"/>
      <c r="H151" s="408"/>
      <c r="I151" s="408"/>
    </row>
    <row r="152" ht="15.75" thickBot="1"/>
    <row r="153" spans="1:8" ht="30.75" customHeight="1" thickBot="1">
      <c r="A153" s="371" t="s">
        <v>0</v>
      </c>
      <c r="B153" s="252" t="s">
        <v>127</v>
      </c>
      <c r="C153" s="405" t="s">
        <v>367</v>
      </c>
      <c r="D153" s="407"/>
      <c r="E153" s="405" t="s">
        <v>168</v>
      </c>
      <c r="F153" s="407"/>
      <c r="G153" s="371" t="s">
        <v>368</v>
      </c>
      <c r="H153" s="415" t="s">
        <v>403</v>
      </c>
    </row>
    <row r="154" spans="1:8" ht="19.5" thickBot="1">
      <c r="A154" s="404"/>
      <c r="B154" s="111"/>
      <c r="C154" s="112" t="s">
        <v>369</v>
      </c>
      <c r="D154" s="112" t="s">
        <v>370</v>
      </c>
      <c r="E154" s="112" t="s">
        <v>369</v>
      </c>
      <c r="F154" s="112" t="s">
        <v>370</v>
      </c>
      <c r="G154" s="372"/>
      <c r="H154" s="416"/>
    </row>
    <row r="155" spans="1:8" ht="19.5" thickBot="1">
      <c r="A155" s="372"/>
      <c r="B155" s="112">
        <v>1</v>
      </c>
      <c r="C155" s="112">
        <v>2</v>
      </c>
      <c r="D155" s="112">
        <v>3</v>
      </c>
      <c r="E155" s="112">
        <v>4</v>
      </c>
      <c r="F155" s="112">
        <v>5</v>
      </c>
      <c r="G155" s="112">
        <v>6</v>
      </c>
      <c r="H155" s="264">
        <v>7</v>
      </c>
    </row>
    <row r="156" spans="1:8" ht="38.25" customHeight="1" thickBot="1">
      <c r="A156" s="264">
        <v>1</v>
      </c>
      <c r="B156" s="138" t="s">
        <v>391</v>
      </c>
      <c r="C156" s="112"/>
      <c r="D156" s="112"/>
      <c r="E156" s="139"/>
      <c r="F156" s="139"/>
      <c r="G156" s="139"/>
      <c r="H156" s="253">
        <f>SUM(H157:H160)</f>
        <v>4856612.059999844</v>
      </c>
    </row>
    <row r="157" spans="1:8" ht="27.75" customHeight="1" thickBot="1">
      <c r="A157" s="264" t="s">
        <v>139</v>
      </c>
      <c r="B157" s="138" t="s">
        <v>371</v>
      </c>
      <c r="C157" s="112">
        <v>133</v>
      </c>
      <c r="D157" s="112">
        <v>41</v>
      </c>
      <c r="E157" s="89">
        <v>63</v>
      </c>
      <c r="F157" s="89">
        <v>73</v>
      </c>
      <c r="G157" s="254">
        <v>150</v>
      </c>
      <c r="H157" s="253">
        <f>((C157*E157)+(D157*F157))*150</f>
        <v>1705800</v>
      </c>
    </row>
    <row r="158" spans="1:8" ht="26.25" customHeight="1" thickBot="1">
      <c r="A158" s="255" t="s">
        <v>141</v>
      </c>
      <c r="B158" s="138" t="s">
        <v>372</v>
      </c>
      <c r="C158" s="251">
        <f>131.5660333+5.9464130458</f>
        <v>137.5124463458</v>
      </c>
      <c r="D158" s="112">
        <v>36</v>
      </c>
      <c r="E158" s="89">
        <v>93.5</v>
      </c>
      <c r="F158" s="89">
        <v>113</v>
      </c>
      <c r="G158" s="254">
        <v>150</v>
      </c>
      <c r="H158" s="253">
        <f>((C158*E158)+(D158*F158))*150</f>
        <v>2538812.0599998445</v>
      </c>
    </row>
    <row r="159" spans="1:8" ht="27.75" customHeight="1" thickBot="1">
      <c r="A159" s="255" t="s">
        <v>373</v>
      </c>
      <c r="B159" s="138" t="s">
        <v>374</v>
      </c>
      <c r="C159" s="112">
        <v>66</v>
      </c>
      <c r="D159" s="112">
        <v>15</v>
      </c>
      <c r="E159" s="89">
        <v>50</v>
      </c>
      <c r="F159" s="89">
        <v>52</v>
      </c>
      <c r="G159" s="254">
        <v>150</v>
      </c>
      <c r="H159" s="253">
        <f>((C159*E159)+(D159*F159))*150</f>
        <v>612000</v>
      </c>
    </row>
    <row r="160" spans="1:8" ht="37.5" customHeight="1" hidden="1" thickBot="1">
      <c r="A160" s="255" t="s">
        <v>375</v>
      </c>
      <c r="B160" s="138" t="s">
        <v>376</v>
      </c>
      <c r="C160" s="112">
        <v>41</v>
      </c>
      <c r="D160" s="112">
        <v>0</v>
      </c>
      <c r="E160" s="139">
        <v>0</v>
      </c>
      <c r="F160" s="139">
        <v>0</v>
      </c>
      <c r="G160" s="254">
        <v>67</v>
      </c>
      <c r="H160" s="253">
        <f>(C160*E160*F160)+(D160*E160*G160)</f>
        <v>0</v>
      </c>
    </row>
    <row r="161" spans="1:8" ht="38.25" customHeight="1" thickBot="1">
      <c r="A161" s="255" t="s">
        <v>393</v>
      </c>
      <c r="B161" s="138" t="s">
        <v>469</v>
      </c>
      <c r="C161" s="112"/>
      <c r="D161" s="112"/>
      <c r="E161" s="139"/>
      <c r="F161" s="139"/>
      <c r="G161" s="254"/>
      <c r="H161" s="253">
        <v>982.85</v>
      </c>
    </row>
    <row r="162" spans="1:10" ht="29.25" customHeight="1" thickBot="1">
      <c r="A162" s="256"/>
      <c r="B162" s="188" t="s">
        <v>327</v>
      </c>
      <c r="C162" s="141"/>
      <c r="D162" s="141"/>
      <c r="E162" s="142"/>
      <c r="F162" s="142"/>
      <c r="G162" s="142"/>
      <c r="H162" s="257">
        <f>H156+H161</f>
        <v>4857594.909999844</v>
      </c>
      <c r="J162" s="143"/>
    </row>
    <row r="163" ht="15">
      <c r="J163" s="258"/>
    </row>
    <row r="164" spans="1:3" ht="15">
      <c r="A164" s="414" t="s">
        <v>425</v>
      </c>
      <c r="B164" s="414"/>
      <c r="C164" s="414"/>
    </row>
    <row r="165" spans="1:9" ht="15">
      <c r="A165" s="134" t="s">
        <v>438</v>
      </c>
      <c r="G165" s="143">
        <f>E116+D139+E148+H162</f>
        <v>5296342.459999539</v>
      </c>
      <c r="H165" s="143">
        <f>4857594.91-H162</f>
        <v>1.564621925354004E-07</v>
      </c>
      <c r="I165" s="319">
        <f>H165/E158/G158</f>
        <v>1.1155949556891295E-11</v>
      </c>
    </row>
  </sheetData>
  <sheetProtection/>
  <mergeCells count="43">
    <mergeCell ref="A151:I151"/>
    <mergeCell ref="A153:A155"/>
    <mergeCell ref="C153:D153"/>
    <mergeCell ref="E153:F153"/>
    <mergeCell ref="G153:G154"/>
    <mergeCell ref="H153:H154"/>
    <mergeCell ref="A97:E97"/>
    <mergeCell ref="A118:G118"/>
    <mergeCell ref="A121:G121"/>
    <mergeCell ref="A122:G122"/>
    <mergeCell ref="A133:E133"/>
    <mergeCell ref="A141:F141"/>
    <mergeCell ref="A60:F60"/>
    <mergeCell ref="A68:G68"/>
    <mergeCell ref="A71:G71"/>
    <mergeCell ref="A72:G72"/>
    <mergeCell ref="A80:I80"/>
    <mergeCell ref="A84:F84"/>
    <mergeCell ref="A45:E45"/>
    <mergeCell ref="A50:A51"/>
    <mergeCell ref="C50:C51"/>
    <mergeCell ref="D50:D51"/>
    <mergeCell ref="A57:F57"/>
    <mergeCell ref="A59:F59"/>
    <mergeCell ref="D21:D22"/>
    <mergeCell ref="E21:G21"/>
    <mergeCell ref="A28:B28"/>
    <mergeCell ref="A31:F31"/>
    <mergeCell ref="A38:F38"/>
    <mergeCell ref="A20:A22"/>
    <mergeCell ref="B20:B22"/>
    <mergeCell ref="C20:C22"/>
    <mergeCell ref="D20:G20"/>
    <mergeCell ref="A164:C164"/>
    <mergeCell ref="H20:H22"/>
    <mergeCell ref="I20:I22"/>
    <mergeCell ref="F1:G1"/>
    <mergeCell ref="A11:G11"/>
    <mergeCell ref="A13:J13"/>
    <mergeCell ref="A15:J15"/>
    <mergeCell ref="A16:J16"/>
    <mergeCell ref="A18:J18"/>
    <mergeCell ref="J20:J22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Николай</cp:lastModifiedBy>
  <cp:lastPrinted>2019-02-12T04:49:21Z</cp:lastPrinted>
  <dcterms:created xsi:type="dcterms:W3CDTF">2017-01-10T09:11:14Z</dcterms:created>
  <dcterms:modified xsi:type="dcterms:W3CDTF">2019-02-14T03:08:41Z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